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D:\NAM 2024\LONG AN\CAN GIUOC\KE HOACH\1. TAI LIEU THU THAP\TT mới gửi phòng xem\"/>
    </mc:Choice>
  </mc:AlternateContent>
  <bookViews>
    <workbookView xWindow="-120" yWindow="-120" windowWidth="20730" windowHeight="11160" firstSheet="1" activeTab="6"/>
  </bookViews>
  <sheets>
    <sheet name="foxz" sheetId="265" state="veryHidden" r:id="rId1"/>
    <sheet name="bia" sheetId="245" r:id="rId2"/>
    <sheet name="01CH" sheetId="214" r:id="rId3"/>
    <sheet name="02CH" sheetId="235" r:id="rId4"/>
    <sheet name="05CH" sheetId="239" r:id="rId5"/>
    <sheet name="06CH" sheetId="240" r:id="rId6"/>
    <sheet name="07CH" sheetId="298" r:id="rId7"/>
    <sheet name="09CH" sheetId="280" r:id="rId8"/>
    <sheet name="10CH" sheetId="278" r:id="rId9"/>
    <sheet name="So sánh biến động 24-25" sheetId="300" state="hidden" r:id="rId10"/>
  </sheets>
  <externalReferences>
    <externalReference r:id="rId11"/>
    <externalReference r:id="rId12"/>
  </externalReferences>
  <definedNames>
    <definedName name="_xlnm._FilterDatabase" localSheetId="6" hidden="1">'07CH'!$A$6:$BH$670</definedName>
    <definedName name="_xlnm.Print_Area" localSheetId="2">'01CH'!$A$1:$S$71</definedName>
    <definedName name="_xlnm.Print_Area" localSheetId="3">'02CH'!$A$1:$G$72</definedName>
    <definedName name="_xlnm.Print_Area" localSheetId="4">'05CH'!$A$1:$S$83</definedName>
    <definedName name="_xlnm.Print_Area" localSheetId="5">'06CH'!$A$1:$S$31</definedName>
    <definedName name="_xlnm.Print_Area" localSheetId="6">'07CH'!$A$1:$BH$677</definedName>
    <definedName name="_xlnm.Print_Area" localSheetId="7">'09CH'!$A$1:$BQ$74</definedName>
    <definedName name="_xlnm.Print_Area" localSheetId="8">'10CH'!$A$1:$Y$66</definedName>
    <definedName name="_xlnm.Print_Area" localSheetId="1">bia!$A$1:$C$16</definedName>
    <definedName name="_xlnm.Print_Area" localSheetId="9">'So sánh biến động 24-25'!$A$1:$H$72</definedName>
    <definedName name="_xlnm.Print_Titles" localSheetId="6">'07CH'!$5:$6</definedName>
  </definedNames>
  <calcPr calcId="152511"/>
</workbook>
</file>

<file path=xl/calcChain.xml><?xml version="1.0" encoding="utf-8"?>
<calcChain xmlns="http://schemas.openxmlformats.org/spreadsheetml/2006/main">
  <c r="H9" i="300" l="1"/>
  <c r="H10" i="300"/>
  <c r="H11" i="300"/>
  <c r="H12" i="300"/>
  <c r="H13" i="300"/>
  <c r="H14" i="300"/>
  <c r="H15" i="300"/>
  <c r="H16" i="300"/>
  <c r="H17" i="300"/>
  <c r="H18" i="300"/>
  <c r="H19" i="300"/>
  <c r="H20" i="300"/>
  <c r="H21" i="300"/>
  <c r="H22" i="300"/>
  <c r="H23" i="300"/>
  <c r="H24" i="300"/>
  <c r="H25" i="300"/>
  <c r="H26" i="300"/>
  <c r="H27" i="300"/>
  <c r="H28" i="300"/>
  <c r="H29" i="300"/>
  <c r="H30" i="300"/>
  <c r="H31" i="300"/>
  <c r="H32" i="300"/>
  <c r="H33" i="300"/>
  <c r="H34" i="300"/>
  <c r="H35" i="300"/>
  <c r="H36" i="300"/>
  <c r="H37" i="300"/>
  <c r="H38" i="300"/>
  <c r="H39" i="300"/>
  <c r="H40" i="300"/>
  <c r="H41" i="300"/>
  <c r="H42" i="300"/>
  <c r="H43" i="300"/>
  <c r="H44" i="300"/>
  <c r="H45" i="300"/>
  <c r="H46" i="300"/>
  <c r="H47" i="300"/>
  <c r="H48" i="300"/>
  <c r="H49" i="300"/>
  <c r="H50" i="300"/>
  <c r="H51" i="300"/>
  <c r="H52" i="300"/>
  <c r="H53" i="300"/>
  <c r="H54" i="300"/>
  <c r="H55" i="300"/>
  <c r="H56" i="300"/>
  <c r="H57" i="300"/>
  <c r="H58" i="300"/>
  <c r="H59" i="300"/>
  <c r="H60" i="300"/>
  <c r="H61" i="300"/>
  <c r="H62" i="300"/>
  <c r="H63" i="300"/>
  <c r="H64" i="300"/>
  <c r="H65" i="300"/>
  <c r="H66" i="300"/>
  <c r="H67" i="300"/>
  <c r="H68" i="300"/>
  <c r="H69" i="300"/>
  <c r="H70" i="300"/>
  <c r="H71" i="300"/>
  <c r="H72" i="300"/>
  <c r="H8" i="300"/>
  <c r="G9" i="300"/>
  <c r="G10" i="300"/>
  <c r="G11" i="300"/>
  <c r="G12" i="300"/>
  <c r="G13" i="300"/>
  <c r="G14" i="300"/>
  <c r="G15" i="300"/>
  <c r="G16" i="300"/>
  <c r="G17" i="300"/>
  <c r="G18" i="300"/>
  <c r="G19" i="300"/>
  <c r="G20" i="300"/>
  <c r="G21" i="300"/>
  <c r="G22" i="300"/>
  <c r="G23" i="300"/>
  <c r="G24" i="300"/>
  <c r="G25" i="300"/>
  <c r="G26" i="300"/>
  <c r="G27" i="300"/>
  <c r="G28" i="300"/>
  <c r="G29" i="300"/>
  <c r="G30" i="300"/>
  <c r="G31" i="300"/>
  <c r="G32" i="300"/>
  <c r="G33" i="300"/>
  <c r="G34" i="300"/>
  <c r="G35" i="300"/>
  <c r="G36" i="300"/>
  <c r="G37" i="300"/>
  <c r="G38" i="300"/>
  <c r="G39" i="300"/>
  <c r="G40" i="300"/>
  <c r="G41" i="300"/>
  <c r="G42" i="300"/>
  <c r="G43" i="300"/>
  <c r="G44" i="300"/>
  <c r="G45" i="300"/>
  <c r="G46" i="300"/>
  <c r="G47" i="300"/>
  <c r="G48" i="300"/>
  <c r="G49" i="300"/>
  <c r="G50" i="300"/>
  <c r="G51" i="300"/>
  <c r="G52" i="300"/>
  <c r="G53" i="300"/>
  <c r="G54" i="300"/>
  <c r="G55" i="300"/>
  <c r="G56" i="300"/>
  <c r="G57" i="300"/>
  <c r="G58" i="300"/>
  <c r="G59" i="300"/>
  <c r="G60" i="300"/>
  <c r="G61" i="300"/>
  <c r="G62" i="300"/>
  <c r="G63" i="300"/>
  <c r="G64" i="300"/>
  <c r="G65" i="300"/>
  <c r="G66" i="300"/>
  <c r="G67" i="300"/>
  <c r="G68" i="300"/>
  <c r="G69" i="300"/>
  <c r="G70" i="300"/>
  <c r="G71" i="300"/>
  <c r="G72" i="300"/>
  <c r="G8" i="300"/>
  <c r="E9" i="300"/>
  <c r="E10" i="300"/>
  <c r="E11" i="300"/>
  <c r="E12" i="300"/>
  <c r="E13" i="300"/>
  <c r="E14" i="300"/>
  <c r="E15" i="300"/>
  <c r="E16" i="300"/>
  <c r="E17" i="300"/>
  <c r="E18" i="300"/>
  <c r="E19" i="300"/>
  <c r="E20" i="300"/>
  <c r="E21" i="300"/>
  <c r="E22" i="300"/>
  <c r="E23" i="300"/>
  <c r="E24" i="300"/>
  <c r="E25" i="300"/>
  <c r="E26" i="300"/>
  <c r="E27" i="300"/>
  <c r="E28" i="300"/>
  <c r="E29" i="300"/>
  <c r="E30" i="300"/>
  <c r="E31" i="300"/>
  <c r="E32" i="300"/>
  <c r="E33" i="300"/>
  <c r="E34" i="300"/>
  <c r="E35" i="300"/>
  <c r="E36" i="300"/>
  <c r="E37" i="300"/>
  <c r="E38" i="300"/>
  <c r="E39" i="300"/>
  <c r="E40" i="300"/>
  <c r="E41" i="300"/>
  <c r="E42" i="300"/>
  <c r="E43" i="300"/>
  <c r="E44" i="300"/>
  <c r="E45" i="300"/>
  <c r="E46" i="300"/>
  <c r="E47" i="300"/>
  <c r="E48" i="300"/>
  <c r="E49" i="300"/>
  <c r="E50" i="300"/>
  <c r="E51" i="300"/>
  <c r="E52" i="300"/>
  <c r="E53" i="300"/>
  <c r="E54" i="300"/>
  <c r="E55" i="300"/>
  <c r="E56" i="300"/>
  <c r="E57" i="300"/>
  <c r="E58" i="300"/>
  <c r="E59" i="300"/>
  <c r="E60" i="300"/>
  <c r="E61" i="300"/>
  <c r="E62" i="300"/>
  <c r="E63" i="300"/>
  <c r="E64" i="300"/>
  <c r="E65" i="300"/>
  <c r="E66" i="300"/>
  <c r="E67" i="300"/>
  <c r="E68" i="300"/>
  <c r="E69" i="300"/>
  <c r="E70" i="300"/>
  <c r="E71" i="300"/>
  <c r="E72" i="300"/>
  <c r="E8" i="300"/>
  <c r="F9" i="300"/>
  <c r="F10" i="300"/>
  <c r="F11" i="300"/>
  <c r="F12" i="300"/>
  <c r="F13" i="300"/>
  <c r="F14" i="300"/>
  <c r="F15" i="300"/>
  <c r="F16" i="300"/>
  <c r="F17" i="300"/>
  <c r="F18" i="300"/>
  <c r="F19" i="300"/>
  <c r="F20" i="300"/>
  <c r="F21" i="300"/>
  <c r="F22" i="300"/>
  <c r="F23" i="300"/>
  <c r="F24" i="300"/>
  <c r="F25" i="300"/>
  <c r="F26" i="300"/>
  <c r="F27" i="300"/>
  <c r="F28" i="300"/>
  <c r="F29" i="300"/>
  <c r="F30" i="300"/>
  <c r="F31" i="300"/>
  <c r="F32" i="300"/>
  <c r="F33" i="300"/>
  <c r="F34" i="300"/>
  <c r="F35" i="300"/>
  <c r="F36" i="300"/>
  <c r="F37" i="300"/>
  <c r="F38" i="300"/>
  <c r="F39" i="300"/>
  <c r="F40" i="300"/>
  <c r="F41" i="300"/>
  <c r="F42" i="300"/>
  <c r="F43" i="300"/>
  <c r="F44" i="300"/>
  <c r="F45" i="300"/>
  <c r="F46" i="300"/>
  <c r="F47" i="300"/>
  <c r="F48" i="300"/>
  <c r="F49" i="300"/>
  <c r="F50" i="300"/>
  <c r="F51" i="300"/>
  <c r="F52" i="300"/>
  <c r="F53" i="300"/>
  <c r="F54" i="300"/>
  <c r="F55" i="300"/>
  <c r="F56" i="300"/>
  <c r="F57" i="300"/>
  <c r="F58" i="300"/>
  <c r="F59" i="300"/>
  <c r="F60" i="300"/>
  <c r="F61" i="300"/>
  <c r="F62" i="300"/>
  <c r="F63" i="300"/>
  <c r="F64" i="300"/>
  <c r="F65" i="300"/>
  <c r="F66" i="300"/>
  <c r="F67" i="300"/>
  <c r="F68" i="300"/>
  <c r="F69" i="300"/>
  <c r="F70" i="300"/>
  <c r="F71" i="300"/>
  <c r="F72" i="300"/>
  <c r="F8" i="300"/>
  <c r="D9" i="300"/>
  <c r="D10" i="300"/>
  <c r="D11" i="300"/>
  <c r="D12" i="300"/>
  <c r="D13" i="300"/>
  <c r="D14" i="300"/>
  <c r="D15" i="300"/>
  <c r="D16" i="300"/>
  <c r="D17" i="300"/>
  <c r="D18" i="300"/>
  <c r="D19" i="300"/>
  <c r="D20" i="300"/>
  <c r="D21" i="300"/>
  <c r="D22" i="300"/>
  <c r="D23" i="300"/>
  <c r="D24" i="300"/>
  <c r="D25" i="300"/>
  <c r="D26" i="300"/>
  <c r="D27" i="300"/>
  <c r="D28" i="300"/>
  <c r="D29" i="300"/>
  <c r="D30" i="300"/>
  <c r="D31" i="300"/>
  <c r="D32" i="300"/>
  <c r="D33" i="300"/>
  <c r="D34" i="300"/>
  <c r="D35" i="300"/>
  <c r="D36" i="300"/>
  <c r="D37" i="300"/>
  <c r="D38" i="300"/>
  <c r="D39" i="300"/>
  <c r="D40" i="300"/>
  <c r="D41" i="300"/>
  <c r="D42" i="300"/>
  <c r="D43" i="300"/>
  <c r="D44" i="300"/>
  <c r="D45" i="300"/>
  <c r="D46" i="300"/>
  <c r="D47" i="300"/>
  <c r="D48" i="300"/>
  <c r="D49" i="300"/>
  <c r="D50" i="300"/>
  <c r="D51" i="300"/>
  <c r="D52" i="300"/>
  <c r="D53" i="300"/>
  <c r="D54" i="300"/>
  <c r="D55" i="300"/>
  <c r="D56" i="300"/>
  <c r="D57" i="300"/>
  <c r="D58" i="300"/>
  <c r="D59" i="300"/>
  <c r="D60" i="300"/>
  <c r="D61" i="300"/>
  <c r="D62" i="300"/>
  <c r="D63" i="300"/>
  <c r="D64" i="300"/>
  <c r="D65" i="300"/>
  <c r="D66" i="300"/>
  <c r="D67" i="300"/>
  <c r="D68" i="300"/>
  <c r="D69" i="300"/>
  <c r="D70" i="300"/>
  <c r="D71" i="300"/>
  <c r="D72" i="300"/>
  <c r="D8" i="300"/>
  <c r="Z37" i="300"/>
  <c r="X37" i="300"/>
  <c r="T37" i="300"/>
  <c r="Z27" i="300"/>
  <c r="X27" i="300"/>
  <c r="T27" i="300"/>
  <c r="W27" i="300"/>
  <c r="Z10" i="300"/>
  <c r="X10" i="300"/>
  <c r="W10" i="300"/>
  <c r="T10" i="300"/>
  <c r="W37" i="300" l="1"/>
  <c r="L671" i="298" l="1"/>
  <c r="K671" i="298"/>
  <c r="G671" i="298"/>
  <c r="A671" i="298"/>
  <c r="L670" i="298"/>
  <c r="K670" i="298"/>
  <c r="G670" i="298"/>
  <c r="L669" i="298"/>
  <c r="K669" i="298"/>
  <c r="G669" i="298"/>
  <c r="L668" i="298"/>
  <c r="K668" i="298"/>
  <c r="G668" i="298"/>
  <c r="L667" i="298"/>
  <c r="K667" i="298"/>
  <c r="G667" i="298"/>
  <c r="L666" i="298"/>
  <c r="K666" i="298"/>
  <c r="G666" i="298"/>
  <c r="L665" i="298"/>
  <c r="K665" i="298"/>
  <c r="G665" i="298"/>
  <c r="L664" i="298"/>
  <c r="K664" i="298"/>
  <c r="G664" i="298"/>
  <c r="L663" i="298"/>
  <c r="K663" i="298"/>
  <c r="G663" i="298"/>
  <c r="L662" i="298"/>
  <c r="K662" i="298"/>
  <c r="G662" i="298"/>
  <c r="L661" i="298"/>
  <c r="K661" i="298"/>
  <c r="G661" i="298"/>
  <c r="L660" i="298"/>
  <c r="K660" i="298"/>
  <c r="G660" i="298"/>
  <c r="L659" i="298"/>
  <c r="K659" i="298"/>
  <c r="G659" i="298"/>
  <c r="L658" i="298"/>
  <c r="K658" i="298"/>
  <c r="G658" i="298"/>
  <c r="L657" i="298"/>
  <c r="K657" i="298"/>
  <c r="G657" i="298"/>
  <c r="L656" i="298"/>
  <c r="K656" i="298"/>
  <c r="G656" i="298"/>
  <c r="A656" i="298"/>
  <c r="L655" i="298"/>
  <c r="K655" i="298"/>
  <c r="G655" i="298"/>
  <c r="A655" i="298"/>
  <c r="L654" i="298"/>
  <c r="K654" i="298"/>
  <c r="G654" i="298"/>
  <c r="A654" i="298"/>
  <c r="L653" i="298"/>
  <c r="K653" i="298"/>
  <c r="G653" i="298"/>
  <c r="A653" i="298"/>
  <c r="L652" i="298"/>
  <c r="K652" i="298"/>
  <c r="G652" i="298"/>
  <c r="A652" i="298"/>
  <c r="J651" i="298"/>
  <c r="I651" i="298"/>
  <c r="H651" i="298" s="1"/>
  <c r="G651" i="298"/>
  <c r="A651" i="298"/>
  <c r="L650" i="298"/>
  <c r="K650" i="298"/>
  <c r="G650" i="298"/>
  <c r="A650" i="298"/>
  <c r="L649" i="298"/>
  <c r="K649" i="298"/>
  <c r="G649" i="298"/>
  <c r="A649" i="298"/>
  <c r="L648" i="298"/>
  <c r="K648" i="298"/>
  <c r="G648" i="298"/>
  <c r="A648" i="298"/>
  <c r="L647" i="298"/>
  <c r="K647" i="298"/>
  <c r="G647" i="298"/>
  <c r="A647" i="298"/>
  <c r="L646" i="298"/>
  <c r="K646" i="298"/>
  <c r="G646" i="298"/>
  <c r="A646" i="298"/>
  <c r="L645" i="298"/>
  <c r="K645" i="298"/>
  <c r="G645" i="298"/>
  <c r="A645" i="298"/>
  <c r="L644" i="298"/>
  <c r="K644" i="298"/>
  <c r="G644" i="298"/>
  <c r="A644" i="298"/>
  <c r="L643" i="298"/>
  <c r="K643" i="298"/>
  <c r="G643" i="298"/>
  <c r="A643" i="298"/>
  <c r="L642" i="298"/>
  <c r="K642" i="298"/>
  <c r="G642" i="298"/>
  <c r="A642" i="298"/>
  <c r="L641" i="298"/>
  <c r="K641" i="298"/>
  <c r="G641" i="298"/>
  <c r="A641" i="298"/>
  <c r="L640" i="298"/>
  <c r="K640" i="298"/>
  <c r="G640" i="298"/>
  <c r="A640" i="298"/>
  <c r="L639" i="298"/>
  <c r="K639" i="298"/>
  <c r="G639" i="298"/>
  <c r="A639" i="298"/>
  <c r="L638" i="298"/>
  <c r="K638" i="298"/>
  <c r="G638" i="298"/>
  <c r="A638" i="298"/>
  <c r="L637" i="298"/>
  <c r="K637" i="298"/>
  <c r="G637" i="298"/>
  <c r="A637" i="298"/>
  <c r="L635" i="298"/>
  <c r="K635" i="298"/>
  <c r="L634" i="298"/>
  <c r="K634" i="298"/>
  <c r="G634" i="298"/>
  <c r="A634" i="298"/>
  <c r="L633" i="298"/>
  <c r="K633" i="298"/>
  <c r="G633" i="298"/>
  <c r="A633" i="298"/>
  <c r="L632" i="298"/>
  <c r="K632" i="298"/>
  <c r="G632" i="298"/>
  <c r="A632" i="298"/>
  <c r="L631" i="298"/>
  <c r="K631" i="298"/>
  <c r="G631" i="298"/>
  <c r="A631" i="298"/>
  <c r="L630" i="298"/>
  <c r="K630" i="298"/>
  <c r="G630" i="298"/>
  <c r="A630" i="298"/>
  <c r="L629" i="298"/>
  <c r="K629" i="298"/>
  <c r="G629" i="298"/>
  <c r="A629" i="298"/>
  <c r="L628" i="298"/>
  <c r="K628" i="298"/>
  <c r="G628" i="298"/>
  <c r="A628" i="298"/>
  <c r="AN627" i="298"/>
  <c r="AA627" i="298"/>
  <c r="K627" i="298" s="1"/>
  <c r="L627" i="298"/>
  <c r="A627" i="298"/>
  <c r="L626" i="298"/>
  <c r="K626" i="298"/>
  <c r="G626" i="298"/>
  <c r="A626" i="298"/>
  <c r="L625" i="298"/>
  <c r="K625" i="298"/>
  <c r="G625" i="298"/>
  <c r="A625" i="298"/>
  <c r="L624" i="298"/>
  <c r="K624" i="298"/>
  <c r="G624" i="298"/>
  <c r="A624" i="298"/>
  <c r="L623" i="298"/>
  <c r="K623" i="298"/>
  <c r="G623" i="298"/>
  <c r="A623" i="298"/>
  <c r="L622" i="298"/>
  <c r="K622" i="298"/>
  <c r="G622" i="298"/>
  <c r="A622" i="298"/>
  <c r="L621" i="298"/>
  <c r="K621" i="298"/>
  <c r="G621" i="298"/>
  <c r="A621" i="298"/>
  <c r="L620" i="298"/>
  <c r="K620" i="298"/>
  <c r="G620" i="298"/>
  <c r="A620" i="298"/>
  <c r="L619" i="298"/>
  <c r="K619" i="298"/>
  <c r="G619" i="298"/>
  <c r="A619" i="298"/>
  <c r="L618" i="298"/>
  <c r="K618" i="298"/>
  <c r="G618" i="298"/>
  <c r="A618" i="298"/>
  <c r="L617" i="298"/>
  <c r="K617" i="298"/>
  <c r="G617" i="298"/>
  <c r="A617" i="298"/>
  <c r="L616" i="298"/>
  <c r="K616" i="298"/>
  <c r="G616" i="298"/>
  <c r="A616" i="298"/>
  <c r="L615" i="298"/>
  <c r="K615" i="298"/>
  <c r="G615" i="298"/>
  <c r="A615" i="298"/>
  <c r="L614" i="298"/>
  <c r="K614" i="298"/>
  <c r="G614" i="298"/>
  <c r="A614" i="298"/>
  <c r="L613" i="298"/>
  <c r="K613" i="298"/>
  <c r="G613" i="298"/>
  <c r="A613" i="298"/>
  <c r="L612" i="298"/>
  <c r="K612" i="298"/>
  <c r="G612" i="298"/>
  <c r="A612" i="298"/>
  <c r="L611" i="298"/>
  <c r="K611" i="298"/>
  <c r="G611" i="298"/>
  <c r="A611" i="298"/>
  <c r="L610" i="298"/>
  <c r="K610" i="298"/>
  <c r="G610" i="298"/>
  <c r="A610" i="298"/>
  <c r="L609" i="298"/>
  <c r="K609" i="298"/>
  <c r="G609" i="298"/>
  <c r="A609" i="298"/>
  <c r="L608" i="298"/>
  <c r="K608" i="298"/>
  <c r="G608" i="298"/>
  <c r="A608" i="298"/>
  <c r="L607" i="298"/>
  <c r="K607" i="298"/>
  <c r="G607" i="298"/>
  <c r="A607" i="298"/>
  <c r="L606" i="298"/>
  <c r="K606" i="298"/>
  <c r="G606" i="298"/>
  <c r="A606" i="298"/>
  <c r="L604" i="298"/>
  <c r="K604" i="298"/>
  <c r="L603" i="298"/>
  <c r="K603" i="298"/>
  <c r="L601" i="298"/>
  <c r="K601" i="298"/>
  <c r="G601" i="298"/>
  <c r="A601" i="298"/>
  <c r="L600" i="298"/>
  <c r="K600" i="298"/>
  <c r="G600" i="298"/>
  <c r="A600" i="298"/>
  <c r="L598" i="298"/>
  <c r="K598" i="298"/>
  <c r="G598" i="298"/>
  <c r="A598" i="298"/>
  <c r="L597" i="298"/>
  <c r="K597" i="298"/>
  <c r="G597" i="298"/>
  <c r="A597" i="298"/>
  <c r="L596" i="298"/>
  <c r="K596" i="298"/>
  <c r="G596" i="298"/>
  <c r="A596" i="298"/>
  <c r="L595" i="298"/>
  <c r="K595" i="298"/>
  <c r="G595" i="298"/>
  <c r="A595" i="298"/>
  <c r="L593" i="298"/>
  <c r="K593" i="298"/>
  <c r="L592" i="298"/>
  <c r="K592" i="298"/>
  <c r="G592" i="298"/>
  <c r="A592" i="298"/>
  <c r="L591" i="298"/>
  <c r="K591" i="298"/>
  <c r="G591" i="298"/>
  <c r="A591" i="298"/>
  <c r="L590" i="298"/>
  <c r="K590" i="298"/>
  <c r="G590" i="298"/>
  <c r="A590" i="298"/>
  <c r="L589" i="298"/>
  <c r="K589" i="298"/>
  <c r="G589" i="298"/>
  <c r="A589" i="298"/>
  <c r="L588" i="298"/>
  <c r="K588" i="298"/>
  <c r="G588" i="298"/>
  <c r="A588" i="298"/>
  <c r="L587" i="298"/>
  <c r="K587" i="298"/>
  <c r="G587" i="298"/>
  <c r="A587" i="298"/>
  <c r="L586" i="298"/>
  <c r="K586" i="298"/>
  <c r="G586" i="298"/>
  <c r="A586" i="298"/>
  <c r="L584" i="298"/>
  <c r="K584" i="298"/>
  <c r="L581" i="298"/>
  <c r="K581" i="298"/>
  <c r="G581" i="298"/>
  <c r="A581" i="298"/>
  <c r="L580" i="298"/>
  <c r="K580" i="298"/>
  <c r="G580" i="298"/>
  <c r="A580" i="298"/>
  <c r="L579" i="298"/>
  <c r="K579" i="298"/>
  <c r="G579" i="298"/>
  <c r="A579" i="298"/>
  <c r="L578" i="298"/>
  <c r="K578" i="298"/>
  <c r="G578" i="298"/>
  <c r="A578" i="298"/>
  <c r="L576" i="298"/>
  <c r="K576" i="298"/>
  <c r="L575" i="298"/>
  <c r="K575" i="298"/>
  <c r="G575" i="298"/>
  <c r="A575" i="298"/>
  <c r="L574" i="298"/>
  <c r="K574" i="298"/>
  <c r="G574" i="298"/>
  <c r="A574" i="298"/>
  <c r="A572" i="298"/>
  <c r="L571" i="298"/>
  <c r="K571" i="298"/>
  <c r="G571" i="298"/>
  <c r="A571" i="298"/>
  <c r="L570" i="298"/>
  <c r="K570" i="298"/>
  <c r="G570" i="298"/>
  <c r="A570" i="298"/>
  <c r="L569" i="298"/>
  <c r="K569" i="298"/>
  <c r="G569" i="298"/>
  <c r="A569" i="298"/>
  <c r="L568" i="298"/>
  <c r="K568" i="298"/>
  <c r="G568" i="298"/>
  <c r="A568" i="298"/>
  <c r="L567" i="298"/>
  <c r="K567" i="298"/>
  <c r="G567" i="298"/>
  <c r="A567" i="298"/>
  <c r="L566" i="298"/>
  <c r="K566" i="298"/>
  <c r="G566" i="298"/>
  <c r="A566" i="298"/>
  <c r="L565" i="298"/>
  <c r="K565" i="298"/>
  <c r="G565" i="298"/>
  <c r="A565" i="298"/>
  <c r="L564" i="298"/>
  <c r="K564" i="298"/>
  <c r="G564" i="298"/>
  <c r="A564" i="298"/>
  <c r="L563" i="298"/>
  <c r="K563" i="298"/>
  <c r="G563" i="298"/>
  <c r="A563" i="298"/>
  <c r="L562" i="298"/>
  <c r="K562" i="298"/>
  <c r="G562" i="298"/>
  <c r="A562" i="298"/>
  <c r="L561" i="298"/>
  <c r="K561" i="298"/>
  <c r="G561" i="298"/>
  <c r="A561" i="298"/>
  <c r="L560" i="298"/>
  <c r="K560" i="298"/>
  <c r="G560" i="298"/>
  <c r="A560" i="298"/>
  <c r="L559" i="298"/>
  <c r="K559" i="298"/>
  <c r="G559" i="298"/>
  <c r="A559" i="298"/>
  <c r="L558" i="298"/>
  <c r="K558" i="298"/>
  <c r="G558" i="298"/>
  <c r="A558" i="298"/>
  <c r="L557" i="298"/>
  <c r="K557" i="298"/>
  <c r="G557" i="298"/>
  <c r="A557" i="298"/>
  <c r="L556" i="298"/>
  <c r="K556" i="298"/>
  <c r="G556" i="298"/>
  <c r="A556" i="298"/>
  <c r="L555" i="298"/>
  <c r="K555" i="298"/>
  <c r="G555" i="298"/>
  <c r="A555" i="298"/>
  <c r="L554" i="298"/>
  <c r="K554" i="298"/>
  <c r="G554" i="298"/>
  <c r="A554" i="298"/>
  <c r="L552" i="298"/>
  <c r="K552" i="298"/>
  <c r="L551" i="298"/>
  <c r="K551" i="298"/>
  <c r="G551" i="298"/>
  <c r="A551" i="298"/>
  <c r="L549" i="298"/>
  <c r="K549" i="298"/>
  <c r="A548" i="298"/>
  <c r="L547" i="298"/>
  <c r="K547" i="298"/>
  <c r="G547" i="298"/>
  <c r="A547" i="298"/>
  <c r="L546" i="298"/>
  <c r="K546" i="298"/>
  <c r="G546" i="298"/>
  <c r="A546" i="298"/>
  <c r="L545" i="298"/>
  <c r="K545" i="298"/>
  <c r="G545" i="298"/>
  <c r="A545" i="298"/>
  <c r="L544" i="298"/>
  <c r="K544" i="298"/>
  <c r="G544" i="298"/>
  <c r="A544" i="298"/>
  <c r="L543" i="298"/>
  <c r="K543" i="298"/>
  <c r="G543" i="298"/>
  <c r="A543" i="298"/>
  <c r="L542" i="298"/>
  <c r="K542" i="298"/>
  <c r="G542" i="298"/>
  <c r="A542" i="298"/>
  <c r="L541" i="298"/>
  <c r="K541" i="298"/>
  <c r="G541" i="298"/>
  <c r="A541" i="298"/>
  <c r="L540" i="298"/>
  <c r="K540" i="298"/>
  <c r="G540" i="298"/>
  <c r="A540" i="298"/>
  <c r="L539" i="298"/>
  <c r="K539" i="298"/>
  <c r="G539" i="298"/>
  <c r="A539" i="298"/>
  <c r="L538" i="298"/>
  <c r="K538" i="298"/>
  <c r="G538" i="298"/>
  <c r="A538" i="298"/>
  <c r="L536" i="298"/>
  <c r="K536" i="298"/>
  <c r="L535" i="298"/>
  <c r="K535" i="298"/>
  <c r="G535" i="298"/>
  <c r="A535" i="298"/>
  <c r="L534" i="298"/>
  <c r="K534" i="298"/>
  <c r="G534" i="298"/>
  <c r="A534" i="298"/>
  <c r="L532" i="298"/>
  <c r="K532" i="298"/>
  <c r="L531" i="298"/>
  <c r="K531" i="298"/>
  <c r="G531" i="298"/>
  <c r="A531" i="298"/>
  <c r="L529" i="298"/>
  <c r="K529" i="298"/>
  <c r="L524" i="298"/>
  <c r="K524" i="298"/>
  <c r="A524" i="298"/>
  <c r="L523" i="298"/>
  <c r="K523" i="298"/>
  <c r="G523" i="298"/>
  <c r="A523" i="298"/>
  <c r="L522" i="298"/>
  <c r="K522" i="298"/>
  <c r="G522" i="298"/>
  <c r="A522" i="298"/>
  <c r="L521" i="298"/>
  <c r="K521" i="298"/>
  <c r="G521" i="298"/>
  <c r="A521" i="298"/>
  <c r="L520" i="298"/>
  <c r="K520" i="298"/>
  <c r="G520" i="298"/>
  <c r="A520" i="298"/>
  <c r="L518" i="298"/>
  <c r="K518" i="298"/>
  <c r="G518" i="298"/>
  <c r="A518" i="298"/>
  <c r="L517" i="298"/>
  <c r="K517" i="298"/>
  <c r="G517" i="298"/>
  <c r="A517" i="298"/>
  <c r="L516" i="298"/>
  <c r="K516" i="298"/>
  <c r="G516" i="298"/>
  <c r="A516" i="298"/>
  <c r="L515" i="298"/>
  <c r="K515" i="298"/>
  <c r="G515" i="298"/>
  <c r="A515" i="298"/>
  <c r="L514" i="298"/>
  <c r="K514" i="298"/>
  <c r="G514" i="298"/>
  <c r="A514" i="298"/>
  <c r="L513" i="298"/>
  <c r="K513" i="298"/>
  <c r="G513" i="298"/>
  <c r="A513" i="298"/>
  <c r="L512" i="298"/>
  <c r="K512" i="298"/>
  <c r="G512" i="298"/>
  <c r="A512" i="298"/>
  <c r="L511" i="298"/>
  <c r="K511" i="298"/>
  <c r="G511" i="298"/>
  <c r="A511" i="298"/>
  <c r="L510" i="298"/>
  <c r="K510" i="298"/>
  <c r="G510" i="298"/>
  <c r="A510" i="298"/>
  <c r="L509" i="298"/>
  <c r="K509" i="298"/>
  <c r="G509" i="298"/>
  <c r="A509" i="298"/>
  <c r="L508" i="298"/>
  <c r="K508" i="298"/>
  <c r="G508" i="298"/>
  <c r="A508" i="298"/>
  <c r="L507" i="298"/>
  <c r="K507" i="298"/>
  <c r="G507" i="298"/>
  <c r="A507" i="298"/>
  <c r="L506" i="298"/>
  <c r="K506" i="298"/>
  <c r="G506" i="298"/>
  <c r="A506" i="298"/>
  <c r="L505" i="298"/>
  <c r="K505" i="298"/>
  <c r="G505" i="298"/>
  <c r="A505" i="298"/>
  <c r="L504" i="298"/>
  <c r="K504" i="298"/>
  <c r="G504" i="298"/>
  <c r="A504" i="298"/>
  <c r="L503" i="298"/>
  <c r="K503" i="298"/>
  <c r="G503" i="298"/>
  <c r="A503" i="298"/>
  <c r="L502" i="298"/>
  <c r="K502" i="298"/>
  <c r="G502" i="298"/>
  <c r="A502" i="298"/>
  <c r="L501" i="298"/>
  <c r="K501" i="298"/>
  <c r="G501" i="298"/>
  <c r="A501" i="298"/>
  <c r="L500" i="298"/>
  <c r="K500" i="298"/>
  <c r="G500" i="298"/>
  <c r="A500" i="298"/>
  <c r="L499" i="298"/>
  <c r="K499" i="298"/>
  <c r="G499" i="298"/>
  <c r="A499" i="298"/>
  <c r="L497" i="298"/>
  <c r="K497" i="298"/>
  <c r="L496" i="298"/>
  <c r="K496" i="298"/>
  <c r="G496" i="298"/>
  <c r="A496" i="298"/>
  <c r="L495" i="298"/>
  <c r="K495" i="298"/>
  <c r="G495" i="298"/>
  <c r="A495" i="298"/>
  <c r="L493" i="298"/>
  <c r="K493" i="298"/>
  <c r="G493" i="298"/>
  <c r="A493" i="298"/>
  <c r="L492" i="298"/>
  <c r="K492" i="298"/>
  <c r="G492" i="298"/>
  <c r="A492" i="298"/>
  <c r="L491" i="298"/>
  <c r="K491" i="298"/>
  <c r="G491" i="298"/>
  <c r="A491" i="298"/>
  <c r="L490" i="298"/>
  <c r="K490" i="298"/>
  <c r="G490" i="298"/>
  <c r="A490" i="298"/>
  <c r="L488" i="298"/>
  <c r="K488" i="298"/>
  <c r="L487" i="298"/>
  <c r="K487" i="298"/>
  <c r="G487" i="298"/>
  <c r="A487" i="298"/>
  <c r="L485" i="298"/>
  <c r="K485" i="298"/>
  <c r="L484" i="298"/>
  <c r="K484" i="298"/>
  <c r="L483" i="298"/>
  <c r="K483" i="298"/>
  <c r="L482" i="298"/>
  <c r="K482" i="298"/>
  <c r="G482" i="298"/>
  <c r="A482" i="298"/>
  <c r="L480" i="298"/>
  <c r="K480" i="298"/>
  <c r="A479" i="298"/>
  <c r="L478" i="298"/>
  <c r="K478" i="298"/>
  <c r="G478" i="298"/>
  <c r="L477" i="298"/>
  <c r="K477" i="298"/>
  <c r="G477" i="298"/>
  <c r="L476" i="298"/>
  <c r="K476" i="298"/>
  <c r="G476" i="298"/>
  <c r="L475" i="298"/>
  <c r="K475" i="298"/>
  <c r="G475" i="298"/>
  <c r="L474" i="298"/>
  <c r="K474" i="298"/>
  <c r="G474" i="298"/>
  <c r="P473" i="298"/>
  <c r="L473" i="298" s="1"/>
  <c r="O473" i="298"/>
  <c r="K473" i="298"/>
  <c r="G473" i="298"/>
  <c r="P472" i="298"/>
  <c r="O472" i="298"/>
  <c r="G472" i="298" s="1"/>
  <c r="L472" i="298"/>
  <c r="K472" i="298"/>
  <c r="O471" i="298"/>
  <c r="M471" i="298"/>
  <c r="L471" i="298" s="1"/>
  <c r="O470" i="298"/>
  <c r="M470" i="298"/>
  <c r="L470" i="298" s="1"/>
  <c r="G470" i="298"/>
  <c r="P469" i="298"/>
  <c r="L469" i="298" s="1"/>
  <c r="O469" i="298"/>
  <c r="K469" i="298"/>
  <c r="G469" i="298"/>
  <c r="O468" i="298"/>
  <c r="M468" i="298"/>
  <c r="G468" i="298" s="1"/>
  <c r="L468" i="298"/>
  <c r="K468" i="298"/>
  <c r="P467" i="298"/>
  <c r="O467" i="298"/>
  <c r="M467" i="298"/>
  <c r="L467" i="298" s="1"/>
  <c r="G467" i="298"/>
  <c r="A467" i="298"/>
  <c r="L465" i="298"/>
  <c r="K465" i="298"/>
  <c r="E461" i="298"/>
  <c r="D461" i="298"/>
  <c r="L456" i="298"/>
  <c r="K456" i="298"/>
  <c r="G456" i="298"/>
  <c r="A456" i="298"/>
  <c r="L455" i="298"/>
  <c r="K455" i="298"/>
  <c r="G455" i="298"/>
  <c r="A455" i="298"/>
  <c r="L453" i="298"/>
  <c r="K453" i="298"/>
  <c r="G453" i="298"/>
  <c r="A453" i="298"/>
  <c r="AL452" i="298"/>
  <c r="P452" i="298"/>
  <c r="O452" i="298"/>
  <c r="L452" i="298" s="1"/>
  <c r="A452" i="298"/>
  <c r="L451" i="298"/>
  <c r="K451" i="298"/>
  <c r="G451" i="298"/>
  <c r="A451" i="298"/>
  <c r="L450" i="298"/>
  <c r="K450" i="298"/>
  <c r="G450" i="298"/>
  <c r="A450" i="298"/>
  <c r="L449" i="298"/>
  <c r="K449" i="298"/>
  <c r="G449" i="298"/>
  <c r="A449" i="298"/>
  <c r="L448" i="298"/>
  <c r="K448" i="298"/>
  <c r="G448" i="298"/>
  <c r="A448" i="298"/>
  <c r="L447" i="298"/>
  <c r="K447" i="298"/>
  <c r="G447" i="298"/>
  <c r="A447" i="298"/>
  <c r="L446" i="298"/>
  <c r="K446" i="298"/>
  <c r="G446" i="298"/>
  <c r="A446" i="298"/>
  <c r="L445" i="298"/>
  <c r="K445" i="298"/>
  <c r="G445" i="298"/>
  <c r="A445" i="298"/>
  <c r="L444" i="298"/>
  <c r="K444" i="298"/>
  <c r="G444" i="298"/>
  <c r="A444" i="298"/>
  <c r="L443" i="298"/>
  <c r="K443" i="298"/>
  <c r="G443" i="298"/>
  <c r="A443" i="298"/>
  <c r="L442" i="298"/>
  <c r="K442" i="298"/>
  <c r="G442" i="298"/>
  <c r="A442" i="298"/>
  <c r="L440" i="298"/>
  <c r="K440" i="298"/>
  <c r="L432" i="298"/>
  <c r="K432" i="298"/>
  <c r="G432" i="298"/>
  <c r="L431" i="298"/>
  <c r="K431" i="298"/>
  <c r="G431" i="298"/>
  <c r="L430" i="298"/>
  <c r="K430" i="298"/>
  <c r="G430" i="298"/>
  <c r="L429" i="298"/>
  <c r="K429" i="298"/>
  <c r="G429" i="298"/>
  <c r="L428" i="298"/>
  <c r="K428" i="298"/>
  <c r="G428" i="298"/>
  <c r="L427" i="298"/>
  <c r="K427" i="298"/>
  <c r="G427" i="298"/>
  <c r="L426" i="298"/>
  <c r="K426" i="298"/>
  <c r="G426" i="298"/>
  <c r="L425" i="298"/>
  <c r="K425" i="298"/>
  <c r="G425" i="298"/>
  <c r="L424" i="298"/>
  <c r="K424" i="298"/>
  <c r="G424" i="298"/>
  <c r="L423" i="298"/>
  <c r="K423" i="298"/>
  <c r="G423" i="298"/>
  <c r="L422" i="298"/>
  <c r="K422" i="298"/>
  <c r="G422" i="298"/>
  <c r="L421" i="298"/>
  <c r="K421" i="298"/>
  <c r="G421" i="298"/>
  <c r="L420" i="298"/>
  <c r="K420" i="298"/>
  <c r="G420" i="298"/>
  <c r="L419" i="298"/>
  <c r="K419" i="298"/>
  <c r="G419" i="298"/>
  <c r="L418" i="298"/>
  <c r="K418" i="298"/>
  <c r="G418" i="298"/>
  <c r="L417" i="298"/>
  <c r="K417" i="298"/>
  <c r="G417" i="298"/>
  <c r="A417" i="298"/>
  <c r="L416" i="298"/>
  <c r="K416" i="298"/>
  <c r="G416" i="298"/>
  <c r="L415" i="298"/>
  <c r="K415" i="298"/>
  <c r="G415" i="298"/>
  <c r="F414" i="298"/>
  <c r="D414" i="298"/>
  <c r="A414" i="298"/>
  <c r="L413" i="298"/>
  <c r="K413" i="298"/>
  <c r="G413" i="298"/>
  <c r="A413" i="298"/>
  <c r="L412" i="298"/>
  <c r="K412" i="298"/>
  <c r="G412" i="298"/>
  <c r="A412" i="298"/>
  <c r="L411" i="298"/>
  <c r="K411" i="298"/>
  <c r="G411" i="298"/>
  <c r="L410" i="298"/>
  <c r="K410" i="298"/>
  <c r="G410" i="298"/>
  <c r="A409" i="298"/>
  <c r="L407" i="298"/>
  <c r="K407" i="298"/>
  <c r="G407" i="298"/>
  <c r="A407" i="298"/>
  <c r="AL406" i="298"/>
  <c r="G406" i="298" s="1"/>
  <c r="Q406" i="298"/>
  <c r="P406" i="298"/>
  <c r="L406" i="298" s="1"/>
  <c r="K406" i="298"/>
  <c r="F406" i="298"/>
  <c r="A406" i="298"/>
  <c r="L405" i="298"/>
  <c r="K405" i="298"/>
  <c r="G405" i="298"/>
  <c r="A405" i="298"/>
  <c r="L404" i="298"/>
  <c r="K404" i="298"/>
  <c r="G404" i="298"/>
  <c r="A404" i="298"/>
  <c r="AL403" i="298"/>
  <c r="Q403" i="298"/>
  <c r="P403" i="298"/>
  <c r="O403" i="298"/>
  <c r="N403" i="298"/>
  <c r="L403" i="298" s="1"/>
  <c r="A403" i="298"/>
  <c r="AQ402" i="298"/>
  <c r="AP402" i="298"/>
  <c r="AL402" i="298"/>
  <c r="W402" i="298"/>
  <c r="K402" i="298" s="1"/>
  <c r="Q402" i="298"/>
  <c r="P402" i="298"/>
  <c r="O402" i="298"/>
  <c r="G402" i="298" s="1"/>
  <c r="L402" i="298"/>
  <c r="A402" i="298"/>
  <c r="L400" i="298"/>
  <c r="K400" i="298"/>
  <c r="L399" i="298"/>
  <c r="K399" i="298"/>
  <c r="L398" i="298"/>
  <c r="K398" i="298"/>
  <c r="G398" i="298"/>
  <c r="A398" i="298"/>
  <c r="L397" i="298"/>
  <c r="K397" i="298"/>
  <c r="G397" i="298"/>
  <c r="A397" i="298"/>
  <c r="L396" i="298"/>
  <c r="K396" i="298"/>
  <c r="G396" i="298"/>
  <c r="A396" i="298"/>
  <c r="L395" i="298"/>
  <c r="K395" i="298"/>
  <c r="G395" i="298"/>
  <c r="A395" i="298"/>
  <c r="L394" i="298"/>
  <c r="K394" i="298"/>
  <c r="G394" i="298"/>
  <c r="A394" i="298"/>
  <c r="L393" i="298"/>
  <c r="K393" i="298"/>
  <c r="G393" i="298"/>
  <c r="A393" i="298"/>
  <c r="L391" i="298"/>
  <c r="K391" i="298"/>
  <c r="L388" i="298"/>
  <c r="K388" i="298"/>
  <c r="G388" i="298"/>
  <c r="A388" i="298"/>
  <c r="L387" i="298"/>
  <c r="K387" i="298"/>
  <c r="G387" i="298"/>
  <c r="A387" i="298"/>
  <c r="L386" i="298"/>
  <c r="K386" i="298"/>
  <c r="G386" i="298"/>
  <c r="A386" i="298"/>
  <c r="L385" i="298"/>
  <c r="K385" i="298"/>
  <c r="G385" i="298"/>
  <c r="A385" i="298"/>
  <c r="L384" i="298"/>
  <c r="K384" i="298"/>
  <c r="G384" i="298"/>
  <c r="A384" i="298"/>
  <c r="L383" i="298"/>
  <c r="K383" i="298"/>
  <c r="G383" i="298"/>
  <c r="A383" i="298"/>
  <c r="P382" i="298"/>
  <c r="O382" i="298"/>
  <c r="M382" i="298"/>
  <c r="L382" i="298" s="1"/>
  <c r="A382" i="298"/>
  <c r="L381" i="298"/>
  <c r="K381" i="298"/>
  <c r="G381" i="298"/>
  <c r="F381" i="298"/>
  <c r="A381" i="298"/>
  <c r="L380" i="298"/>
  <c r="K380" i="298"/>
  <c r="G380" i="298"/>
  <c r="A380" i="298"/>
  <c r="L378" i="298"/>
  <c r="K378" i="298"/>
  <c r="P359" i="298"/>
  <c r="L359" i="298" s="1"/>
  <c r="A359" i="298"/>
  <c r="L358" i="298"/>
  <c r="K358" i="298"/>
  <c r="G358" i="298"/>
  <c r="A358" i="298"/>
  <c r="L357" i="298"/>
  <c r="K357" i="298"/>
  <c r="G357" i="298"/>
  <c r="F357" i="298"/>
  <c r="A357" i="298"/>
  <c r="A356" i="298"/>
  <c r="L355" i="298"/>
  <c r="K355" i="298"/>
  <c r="G355" i="298"/>
  <c r="A355" i="298"/>
  <c r="L354" i="298"/>
  <c r="K354" i="298"/>
  <c r="G354" i="298"/>
  <c r="A354" i="298"/>
  <c r="L353" i="298"/>
  <c r="K353" i="298"/>
  <c r="G353" i="298"/>
  <c r="A353" i="298"/>
  <c r="L352" i="298"/>
  <c r="K352" i="298"/>
  <c r="G352" i="298"/>
  <c r="A352" i="298"/>
  <c r="L351" i="298"/>
  <c r="K351" i="298"/>
  <c r="G351" i="298"/>
  <c r="A351" i="298"/>
  <c r="L350" i="298"/>
  <c r="K350" i="298"/>
  <c r="G350" i="298"/>
  <c r="L349" i="298"/>
  <c r="K349" i="298"/>
  <c r="G349" i="298"/>
  <c r="F348" i="298"/>
  <c r="A348" i="298"/>
  <c r="AQ347" i="298"/>
  <c r="AL347" i="298"/>
  <c r="AH347" i="298"/>
  <c r="AG347" i="298"/>
  <c r="Z347" i="298"/>
  <c r="W347" i="298"/>
  <c r="V347" i="298"/>
  <c r="R347" i="298"/>
  <c r="Q347" i="298"/>
  <c r="P347" i="298"/>
  <c r="G347" i="298" s="1"/>
  <c r="O347" i="298"/>
  <c r="L347" i="298" s="1"/>
  <c r="M347" i="298"/>
  <c r="K347" i="298"/>
  <c r="AQ346" i="298"/>
  <c r="AP346" i="298"/>
  <c r="AL346" i="298"/>
  <c r="AH346" i="298"/>
  <c r="AG346" i="298"/>
  <c r="W346" i="298"/>
  <c r="P346" i="298"/>
  <c r="G346" i="298" s="1"/>
  <c r="O346" i="298"/>
  <c r="L346" i="298" s="1"/>
  <c r="M346" i="298"/>
  <c r="K346" i="298"/>
  <c r="AQ345" i="298"/>
  <c r="AL345" i="298"/>
  <c r="AH345" i="298"/>
  <c r="W345" i="298"/>
  <c r="V345" i="298"/>
  <c r="Q345" i="298"/>
  <c r="P345" i="298"/>
  <c r="G345" i="298" s="1"/>
  <c r="O345" i="298"/>
  <c r="L345" i="298" s="1"/>
  <c r="M345" i="298"/>
  <c r="K345" i="298"/>
  <c r="F344" i="298"/>
  <c r="A344" i="298"/>
  <c r="L343" i="298"/>
  <c r="K343" i="298"/>
  <c r="AL342" i="298"/>
  <c r="N342" i="298"/>
  <c r="M342" i="298"/>
  <c r="L342" i="298" s="1"/>
  <c r="A342" i="298"/>
  <c r="L341" i="298"/>
  <c r="K341" i="298"/>
  <c r="G341" i="298"/>
  <c r="A341" i="298"/>
  <c r="L340" i="298"/>
  <c r="K340" i="298"/>
  <c r="G340" i="298"/>
  <c r="A340" i="298"/>
  <c r="L339" i="298"/>
  <c r="K339" i="298"/>
  <c r="G339" i="298"/>
  <c r="A339" i="298"/>
  <c r="L338" i="298"/>
  <c r="K338" i="298"/>
  <c r="G338" i="298"/>
  <c r="A338" i="298"/>
  <c r="L337" i="298"/>
  <c r="K337" i="298"/>
  <c r="G337" i="298"/>
  <c r="A337" i="298"/>
  <c r="L336" i="298"/>
  <c r="K336" i="298"/>
  <c r="G336" i="298"/>
  <c r="A336" i="298"/>
  <c r="AL335" i="298"/>
  <c r="AH335" i="298"/>
  <c r="W335" i="298"/>
  <c r="O335" i="298"/>
  <c r="N335" i="298"/>
  <c r="L335" i="298" s="1"/>
  <c r="A335" i="298"/>
  <c r="AQ334" i="298"/>
  <c r="AL334" i="298"/>
  <c r="P334" i="298"/>
  <c r="O334" i="298"/>
  <c r="L334" i="298" s="1"/>
  <c r="L333" i="298"/>
  <c r="K333" i="298"/>
  <c r="G333" i="298"/>
  <c r="F332" i="298"/>
  <c r="A332" i="298"/>
  <c r="L331" i="298"/>
  <c r="K331" i="298"/>
  <c r="G331" i="298"/>
  <c r="A331" i="298"/>
  <c r="AQ330" i="298"/>
  <c r="AL330" i="298"/>
  <c r="Q330" i="298"/>
  <c r="P330" i="298"/>
  <c r="M330" i="298"/>
  <c r="L330" i="298" s="1"/>
  <c r="G330" i="298"/>
  <c r="A330" i="298"/>
  <c r="M329" i="298"/>
  <c r="L329" i="298"/>
  <c r="K329" i="298"/>
  <c r="G329" i="298"/>
  <c r="A329" i="298"/>
  <c r="AQ328" i="298"/>
  <c r="AL328" i="298"/>
  <c r="W328" i="298"/>
  <c r="Q328" i="298"/>
  <c r="P328" i="298"/>
  <c r="N328" i="298"/>
  <c r="M328" i="298"/>
  <c r="L328" i="298" s="1"/>
  <c r="G328" i="298"/>
  <c r="L327" i="298"/>
  <c r="K327" i="298"/>
  <c r="G327" i="298"/>
  <c r="L326" i="298"/>
  <c r="K326" i="298"/>
  <c r="G326" i="298"/>
  <c r="L325" i="298"/>
  <c r="K325" i="298"/>
  <c r="G325" i="298"/>
  <c r="A325" i="298"/>
  <c r="L324" i="298"/>
  <c r="K324" i="298"/>
  <c r="G324" i="298"/>
  <c r="A324" i="298"/>
  <c r="L323" i="298"/>
  <c r="K323" i="298"/>
  <c r="G323" i="298"/>
  <c r="A323" i="298"/>
  <c r="AQ322" i="298"/>
  <c r="AL322" i="298"/>
  <c r="K322" i="298" s="1"/>
  <c r="W322" i="298"/>
  <c r="Q322" i="298"/>
  <c r="P322" i="298"/>
  <c r="G322" i="298" s="1"/>
  <c r="L322" i="298"/>
  <c r="A322" i="298"/>
  <c r="L321" i="298"/>
  <c r="K321" i="298"/>
  <c r="G321" i="298"/>
  <c r="A321" i="298"/>
  <c r="AH320" i="298"/>
  <c r="K320" i="298" s="1"/>
  <c r="W320" i="298"/>
  <c r="Q320" i="298"/>
  <c r="O320" i="298"/>
  <c r="G320" i="298" s="1"/>
  <c r="L320" i="298"/>
  <c r="A320" i="298"/>
  <c r="L319" i="298"/>
  <c r="K319" i="298"/>
  <c r="G319" i="298"/>
  <c r="A319" i="298"/>
  <c r="AL318" i="298"/>
  <c r="AH318" i="298"/>
  <c r="W318" i="298"/>
  <c r="Q318" i="298"/>
  <c r="P318" i="298"/>
  <c r="N318" i="298"/>
  <c r="L318" i="298" s="1"/>
  <c r="G318" i="298"/>
  <c r="A318" i="298"/>
  <c r="AL317" i="298"/>
  <c r="W317" i="298"/>
  <c r="Q317" i="298"/>
  <c r="P317" i="298"/>
  <c r="L317" i="298" s="1"/>
  <c r="G317" i="298"/>
  <c r="A317" i="298"/>
  <c r="AQ316" i="298"/>
  <c r="AL316" i="298"/>
  <c r="Q316" i="298"/>
  <c r="P316" i="298"/>
  <c r="L316" i="298" s="1"/>
  <c r="G316" i="298"/>
  <c r="A316" i="298"/>
  <c r="L315" i="298"/>
  <c r="K315" i="298"/>
  <c r="G315" i="298"/>
  <c r="A315" i="298"/>
  <c r="P314" i="298"/>
  <c r="O314" i="298"/>
  <c r="G314" i="298" s="1"/>
  <c r="L314" i="298"/>
  <c r="K314" i="298"/>
  <c r="E314" i="298"/>
  <c r="A314" i="298"/>
  <c r="L313" i="298"/>
  <c r="K313" i="298"/>
  <c r="G313" i="298"/>
  <c r="A313" i="298"/>
  <c r="L312" i="298"/>
  <c r="K312" i="298"/>
  <c r="G312" i="298"/>
  <c r="A312" i="298"/>
  <c r="L311" i="298"/>
  <c r="K311" i="298"/>
  <c r="G311" i="298"/>
  <c r="A311" i="298"/>
  <c r="L310" i="298"/>
  <c r="K310" i="298"/>
  <c r="G310" i="298"/>
  <c r="E310" i="298"/>
  <c r="A310" i="298"/>
  <c r="AH309" i="298"/>
  <c r="W309" i="298"/>
  <c r="Q309" i="298"/>
  <c r="P309" i="298"/>
  <c r="L309" i="298" s="1"/>
  <c r="G309" i="298"/>
  <c r="A309" i="298"/>
  <c r="AQ308" i="298"/>
  <c r="Q308" i="298"/>
  <c r="P308" i="298"/>
  <c r="O308" i="298"/>
  <c r="L308" i="298" s="1"/>
  <c r="G308" i="298"/>
  <c r="F308" i="298"/>
  <c r="A308" i="298"/>
  <c r="AQ307" i="298"/>
  <c r="AL307" i="298"/>
  <c r="G307" i="298" s="1"/>
  <c r="W307" i="298"/>
  <c r="L307" i="298" s="1"/>
  <c r="P307" i="298"/>
  <c r="K307" i="298"/>
  <c r="A307" i="298"/>
  <c r="AL306" i="298"/>
  <c r="W306" i="298"/>
  <c r="K306" i="298" s="1"/>
  <c r="P306" i="298"/>
  <c r="O306" i="298"/>
  <c r="M306" i="298"/>
  <c r="G306" i="298" s="1"/>
  <c r="L306" i="298"/>
  <c r="A306" i="298"/>
  <c r="K305" i="298"/>
  <c r="J305" i="298"/>
  <c r="G305" i="298"/>
  <c r="F305" i="298"/>
  <c r="A305" i="298"/>
  <c r="L304" i="298"/>
  <c r="K304" i="298"/>
  <c r="G304" i="298"/>
  <c r="F304" i="298"/>
  <c r="A304" i="298"/>
  <c r="W303" i="298"/>
  <c r="M303" i="298"/>
  <c r="G303" i="298" s="1"/>
  <c r="L303" i="298"/>
  <c r="K303" i="298"/>
  <c r="A303" i="298"/>
  <c r="AL302" i="298"/>
  <c r="R302" i="298"/>
  <c r="P302" i="298"/>
  <c r="O302" i="298"/>
  <c r="M302" i="298"/>
  <c r="L302" i="298" s="1"/>
  <c r="AL301" i="298"/>
  <c r="R301" i="298"/>
  <c r="P301" i="298"/>
  <c r="O301" i="298"/>
  <c r="M301" i="298"/>
  <c r="L301" i="298" s="1"/>
  <c r="A300" i="298"/>
  <c r="L299" i="298"/>
  <c r="K299" i="298"/>
  <c r="G299" i="298"/>
  <c r="A299" i="298"/>
  <c r="L298" i="298"/>
  <c r="K298" i="298"/>
  <c r="G298" i="298"/>
  <c r="A298" i="298"/>
  <c r="L297" i="298"/>
  <c r="K297" i="298"/>
  <c r="G297" i="298"/>
  <c r="A297" i="298"/>
  <c r="L296" i="298"/>
  <c r="K296" i="298"/>
  <c r="G296" i="298"/>
  <c r="F296" i="298"/>
  <c r="A296" i="298"/>
  <c r="L295" i="298"/>
  <c r="K295" i="298"/>
  <c r="G295" i="298"/>
  <c r="A295" i="298"/>
  <c r="L294" i="298"/>
  <c r="K294" i="298"/>
  <c r="G294" i="298"/>
  <c r="A294" i="298"/>
  <c r="L293" i="298"/>
  <c r="K293" i="298"/>
  <c r="G293" i="298"/>
  <c r="F293" i="298"/>
  <c r="L292" i="298"/>
  <c r="K292" i="298"/>
  <c r="G292" i="298"/>
  <c r="F292" i="298"/>
  <c r="F291" i="298" s="1"/>
  <c r="A291" i="298"/>
  <c r="L290" i="298"/>
  <c r="K290" i="298"/>
  <c r="G290" i="298"/>
  <c r="A290" i="298"/>
  <c r="L289" i="298"/>
  <c r="K289" i="298"/>
  <c r="G289" i="298"/>
  <c r="L288" i="298"/>
  <c r="K288" i="298"/>
  <c r="G288" i="298"/>
  <c r="F287" i="298"/>
  <c r="A287" i="298"/>
  <c r="L286" i="298"/>
  <c r="K286" i="298"/>
  <c r="G286" i="298"/>
  <c r="A286" i="298"/>
  <c r="L285" i="298"/>
  <c r="K285" i="298"/>
  <c r="G285" i="298"/>
  <c r="A285" i="298"/>
  <c r="AQ284" i="298"/>
  <c r="AL284" i="298"/>
  <c r="AH284" i="298"/>
  <c r="Q284" i="298"/>
  <c r="P284" i="298"/>
  <c r="O284" i="298"/>
  <c r="N284" i="298"/>
  <c r="L284" i="298" s="1"/>
  <c r="K284" i="298"/>
  <c r="AQ283" i="298"/>
  <c r="AL283" i="298"/>
  <c r="AH283" i="298"/>
  <c r="Q283" i="298"/>
  <c r="P283" i="298"/>
  <c r="L283" i="298" s="1"/>
  <c r="A282" i="298"/>
  <c r="AQ281" i="298"/>
  <c r="AL281" i="298"/>
  <c r="AH281" i="298"/>
  <c r="O281" i="298"/>
  <c r="M281" i="298"/>
  <c r="L281" i="298" s="1"/>
  <c r="G281" i="298"/>
  <c r="A281" i="298"/>
  <c r="L280" i="298"/>
  <c r="K280" i="298"/>
  <c r="G280" i="298"/>
  <c r="A280" i="298"/>
  <c r="L278" i="298"/>
  <c r="K278" i="298"/>
  <c r="L277" i="298"/>
  <c r="K277" i="298"/>
  <c r="G277" i="298"/>
  <c r="A277" i="298"/>
  <c r="L275" i="298"/>
  <c r="K275" i="298"/>
  <c r="G275" i="298"/>
  <c r="A275" i="298"/>
  <c r="L274" i="298"/>
  <c r="K274" i="298"/>
  <c r="G274" i="298"/>
  <c r="A274" i="298"/>
  <c r="L273" i="298"/>
  <c r="K273" i="298"/>
  <c r="G273" i="298"/>
  <c r="A273" i="298"/>
  <c r="L272" i="298"/>
  <c r="K272" i="298"/>
  <c r="G272" i="298"/>
  <c r="A272" i="298"/>
  <c r="L271" i="298"/>
  <c r="K271" i="298"/>
  <c r="G271" i="298"/>
  <c r="A271" i="298"/>
  <c r="L270" i="298"/>
  <c r="K270" i="298"/>
  <c r="G270" i="298"/>
  <c r="A270" i="298"/>
  <c r="L269" i="298"/>
  <c r="K269" i="298"/>
  <c r="G269" i="298"/>
  <c r="A269" i="298"/>
  <c r="L268" i="298"/>
  <c r="K268" i="298"/>
  <c r="G268" i="298"/>
  <c r="A268" i="298"/>
  <c r="L267" i="298"/>
  <c r="K267" i="298"/>
  <c r="G267" i="298"/>
  <c r="A267" i="298"/>
  <c r="L266" i="298"/>
  <c r="K266" i="298"/>
  <c r="G266" i="298"/>
  <c r="A266" i="298"/>
  <c r="L265" i="298"/>
  <c r="K265" i="298"/>
  <c r="G265" i="298"/>
  <c r="A265" i="298"/>
  <c r="L264" i="298"/>
  <c r="K264" i="298"/>
  <c r="G264" i="298"/>
  <c r="A264" i="298"/>
  <c r="L263" i="298"/>
  <c r="K263" i="298"/>
  <c r="G263" i="298"/>
  <c r="A263" i="298"/>
  <c r="L262" i="298"/>
  <c r="K262" i="298"/>
  <c r="G262" i="298"/>
  <c r="A262" i="298"/>
  <c r="L261" i="298"/>
  <c r="K261" i="298"/>
  <c r="G261" i="298"/>
  <c r="A261" i="298"/>
  <c r="L260" i="298"/>
  <c r="K260" i="298"/>
  <c r="G260" i="298"/>
  <c r="A260" i="298"/>
  <c r="L259" i="298"/>
  <c r="K259" i="298"/>
  <c r="G259" i="298"/>
  <c r="A259" i="298"/>
  <c r="L258" i="298"/>
  <c r="K258" i="298"/>
  <c r="G258" i="298"/>
  <c r="A258" i="298"/>
  <c r="L257" i="298"/>
  <c r="K257" i="298"/>
  <c r="G257" i="298"/>
  <c r="A257" i="298"/>
  <c r="L256" i="298"/>
  <c r="K256" i="298"/>
  <c r="G256" i="298"/>
  <c r="A256" i="298"/>
  <c r="L254" i="298"/>
  <c r="K254" i="298"/>
  <c r="L253" i="298"/>
  <c r="K253" i="298"/>
  <c r="G253" i="298"/>
  <c r="A253" i="298"/>
  <c r="L251" i="298"/>
  <c r="K251" i="298"/>
  <c r="L248" i="298"/>
  <c r="K248" i="298"/>
  <c r="G248" i="298"/>
  <c r="A248" i="298"/>
  <c r="L247" i="298"/>
  <c r="K247" i="298"/>
  <c r="G247" i="298"/>
  <c r="A247" i="298"/>
  <c r="AQ246" i="298"/>
  <c r="AP246" i="298"/>
  <c r="W246" i="298"/>
  <c r="Q246" i="298"/>
  <c r="O246" i="298"/>
  <c r="N246" i="298"/>
  <c r="L246" i="298" s="1"/>
  <c r="G246" i="298"/>
  <c r="A246" i="298"/>
  <c r="L245" i="298"/>
  <c r="K245" i="298"/>
  <c r="G245" i="298"/>
  <c r="A245" i="298"/>
  <c r="L244" i="298"/>
  <c r="K244" i="298"/>
  <c r="G244" i="298"/>
  <c r="A244" i="298"/>
  <c r="L243" i="298"/>
  <c r="K243" i="298"/>
  <c r="G243" i="298"/>
  <c r="A243" i="298"/>
  <c r="L242" i="298"/>
  <c r="K242" i="298"/>
  <c r="G242" i="298"/>
  <c r="A242" i="298"/>
  <c r="L241" i="298"/>
  <c r="K241" i="298"/>
  <c r="G241" i="298"/>
  <c r="A241" i="298"/>
  <c r="L240" i="298"/>
  <c r="K240" i="298"/>
  <c r="G240" i="298"/>
  <c r="A240" i="298"/>
  <c r="L239" i="298"/>
  <c r="K239" i="298"/>
  <c r="G239" i="298"/>
  <c r="A239" i="298"/>
  <c r="L238" i="298"/>
  <c r="K238" i="298"/>
  <c r="G238" i="298"/>
  <c r="A238" i="298"/>
  <c r="L237" i="298"/>
  <c r="K237" i="298"/>
  <c r="G237" i="298"/>
  <c r="A237" i="298"/>
  <c r="L235" i="298"/>
  <c r="K235" i="298"/>
  <c r="L234" i="298"/>
  <c r="K234" i="298"/>
  <c r="G234" i="298"/>
  <c r="A234" i="298"/>
  <c r="L233" i="298"/>
  <c r="K233" i="298"/>
  <c r="G233" i="298"/>
  <c r="A233" i="298"/>
  <c r="L232" i="298"/>
  <c r="K232" i="298"/>
  <c r="G232" i="298"/>
  <c r="A232" i="298"/>
  <c r="L231" i="298"/>
  <c r="K231" i="298"/>
  <c r="G231" i="298"/>
  <c r="A231" i="298"/>
  <c r="L230" i="298"/>
  <c r="K230" i="298"/>
  <c r="G230" i="298"/>
  <c r="A230" i="298"/>
  <c r="L228" i="298"/>
  <c r="K228" i="298"/>
  <c r="L227" i="298"/>
  <c r="K227" i="298"/>
  <c r="G227" i="298"/>
  <c r="A227" i="298"/>
  <c r="L225" i="298"/>
  <c r="K225" i="298"/>
  <c r="AW223" i="298"/>
  <c r="L221" i="298"/>
  <c r="K221" i="298"/>
  <c r="G221" i="298"/>
  <c r="L220" i="298"/>
  <c r="K220" i="298"/>
  <c r="G220" i="298"/>
  <c r="A219" i="298"/>
  <c r="L218" i="298"/>
  <c r="K218" i="298"/>
  <c r="G218" i="298"/>
  <c r="A218" i="298"/>
  <c r="L217" i="298"/>
  <c r="K217" i="298"/>
  <c r="G217" i="298"/>
  <c r="L216" i="298"/>
  <c r="K216" i="298"/>
  <c r="G216" i="298"/>
  <c r="L215" i="298"/>
  <c r="K215" i="298"/>
  <c r="G215" i="298"/>
  <c r="L214" i="298"/>
  <c r="K214" i="298"/>
  <c r="G214" i="298"/>
  <c r="L213" i="298"/>
  <c r="K213" i="298"/>
  <c r="G213" i="298"/>
  <c r="A212" i="298"/>
  <c r="L211" i="298"/>
  <c r="K211" i="298"/>
  <c r="G211" i="298"/>
  <c r="L210" i="298"/>
  <c r="K210" i="298"/>
  <c r="G210" i="298"/>
  <c r="L209" i="298"/>
  <c r="K209" i="298"/>
  <c r="G209" i="298"/>
  <c r="L208" i="298"/>
  <c r="K208" i="298"/>
  <c r="G208" i="298"/>
  <c r="L207" i="298"/>
  <c r="K207" i="298"/>
  <c r="G207" i="298"/>
  <c r="A206" i="298"/>
  <c r="L205" i="298"/>
  <c r="K205" i="298"/>
  <c r="G205" i="298"/>
  <c r="L204" i="298"/>
  <c r="K204" i="298"/>
  <c r="G204" i="298"/>
  <c r="F203" i="298"/>
  <c r="A203" i="298"/>
  <c r="L202" i="298"/>
  <c r="K202" i="298"/>
  <c r="G202" i="298"/>
  <c r="A202" i="298"/>
  <c r="L201" i="298"/>
  <c r="K201" i="298"/>
  <c r="G201" i="298"/>
  <c r="A201" i="298"/>
  <c r="L200" i="298"/>
  <c r="K200" i="298"/>
  <c r="G200" i="298"/>
  <c r="A200" i="298"/>
  <c r="L198" i="298"/>
  <c r="K198" i="298"/>
  <c r="L197" i="298"/>
  <c r="K197" i="298"/>
  <c r="G197" i="298"/>
  <c r="A197" i="298"/>
  <c r="L196" i="298"/>
  <c r="K196" i="298"/>
  <c r="G196" i="298"/>
  <c r="A196" i="298"/>
  <c r="L195" i="298"/>
  <c r="K195" i="298"/>
  <c r="G195" i="298"/>
  <c r="A195" i="298"/>
  <c r="L193" i="298"/>
  <c r="K193" i="298"/>
  <c r="L183" i="298"/>
  <c r="K183" i="298"/>
  <c r="G183" i="298"/>
  <c r="A183" i="298"/>
  <c r="L182" i="298"/>
  <c r="K182" i="298"/>
  <c r="G182" i="298"/>
  <c r="A182" i="298"/>
  <c r="L181" i="298"/>
  <c r="K181" i="298"/>
  <c r="G181" i="298"/>
  <c r="A181" i="298"/>
  <c r="L180" i="298"/>
  <c r="K180" i="298"/>
  <c r="G180" i="298"/>
  <c r="A180" i="298"/>
  <c r="L179" i="298"/>
  <c r="K179" i="298"/>
  <c r="G179" i="298"/>
  <c r="D179" i="298"/>
  <c r="A179" i="298"/>
  <c r="L178" i="298"/>
  <c r="K178" i="298"/>
  <c r="G178" i="298"/>
  <c r="A178" i="298"/>
  <c r="L177" i="298"/>
  <c r="K177" i="298"/>
  <c r="G177" i="298"/>
  <c r="A177" i="298"/>
  <c r="L176" i="298"/>
  <c r="K176" i="298"/>
  <c r="G176" i="298"/>
  <c r="A176" i="298"/>
  <c r="L175" i="298"/>
  <c r="K175" i="298"/>
  <c r="G175" i="298"/>
  <c r="A175" i="298"/>
  <c r="L174" i="298"/>
  <c r="K174" i="298"/>
  <c r="G174" i="298"/>
  <c r="A174" i="298"/>
  <c r="L173" i="298"/>
  <c r="K173" i="298"/>
  <c r="G173" i="298"/>
  <c r="F173" i="298"/>
  <c r="A173" i="298"/>
  <c r="L172" i="298"/>
  <c r="K172" i="298"/>
  <c r="G172" i="298"/>
  <c r="A172" i="298"/>
  <c r="L171" i="298"/>
  <c r="K171" i="298"/>
  <c r="G171" i="298"/>
  <c r="A171" i="298"/>
  <c r="L169" i="298"/>
  <c r="K169" i="298"/>
  <c r="L168" i="298"/>
  <c r="K168" i="298"/>
  <c r="G168" i="298"/>
  <c r="A168" i="298"/>
  <c r="L167" i="298"/>
  <c r="K167" i="298"/>
  <c r="G167" i="298"/>
  <c r="A167" i="298"/>
  <c r="L166" i="298"/>
  <c r="K166" i="298"/>
  <c r="G166" i="298"/>
  <c r="A166" i="298"/>
  <c r="L165" i="298"/>
  <c r="K165" i="298"/>
  <c r="G165" i="298"/>
  <c r="A165" i="298"/>
  <c r="L164" i="298"/>
  <c r="K164" i="298"/>
  <c r="G164" i="298"/>
  <c r="A164" i="298"/>
  <c r="L163" i="298"/>
  <c r="K163" i="298"/>
  <c r="G163" i="298"/>
  <c r="A163" i="298"/>
  <c r="L162" i="298"/>
  <c r="K162" i="298"/>
  <c r="G162" i="298"/>
  <c r="A162" i="298"/>
  <c r="L160" i="298"/>
  <c r="K160" i="298"/>
  <c r="L159" i="298"/>
  <c r="K159" i="298"/>
  <c r="G159" i="298"/>
  <c r="A159" i="298"/>
  <c r="AH158" i="298"/>
  <c r="O158" i="298"/>
  <c r="M158" i="298"/>
  <c r="L158" i="298" s="1"/>
  <c r="A158" i="298"/>
  <c r="L157" i="298"/>
  <c r="K157" i="298"/>
  <c r="G157" i="298"/>
  <c r="L156" i="298"/>
  <c r="K156" i="298"/>
  <c r="G156" i="298"/>
  <c r="F155" i="298"/>
  <c r="A155" i="298"/>
  <c r="L154" i="298"/>
  <c r="K154" i="298"/>
  <c r="G154" i="298"/>
  <c r="A154" i="298"/>
  <c r="L153" i="298"/>
  <c r="K153" i="298"/>
  <c r="G153" i="298"/>
  <c r="A153" i="298"/>
  <c r="L152" i="298"/>
  <c r="K152" i="298"/>
  <c r="G152" i="298"/>
  <c r="A152" i="298"/>
  <c r="L150" i="298"/>
  <c r="K150" i="298"/>
  <c r="L149" i="298"/>
  <c r="K149" i="298"/>
  <c r="G149" i="298"/>
  <c r="A149" i="298"/>
  <c r="L147" i="298"/>
  <c r="K147" i="298"/>
  <c r="AW126" i="298"/>
  <c r="L125" i="298"/>
  <c r="K125" i="298"/>
  <c r="G125" i="298"/>
  <c r="A125" i="298"/>
  <c r="L124" i="298"/>
  <c r="K124" i="298"/>
  <c r="G124" i="298"/>
  <c r="A124" i="298"/>
  <c r="L123" i="298"/>
  <c r="K123" i="298"/>
  <c r="G123" i="298"/>
  <c r="A123" i="298"/>
  <c r="L122" i="298"/>
  <c r="K122" i="298"/>
  <c r="G122" i="298"/>
  <c r="A122" i="298"/>
  <c r="L121" i="298"/>
  <c r="K121" i="298"/>
  <c r="G121" i="298"/>
  <c r="A121" i="298"/>
  <c r="L120" i="298"/>
  <c r="K120" i="298"/>
  <c r="G120" i="298"/>
  <c r="A120" i="298"/>
  <c r="L119" i="298"/>
  <c r="K119" i="298"/>
  <c r="G119" i="298"/>
  <c r="A119" i="298"/>
  <c r="L118" i="298"/>
  <c r="K118" i="298"/>
  <c r="G118" i="298"/>
  <c r="A118" i="298"/>
  <c r="L117" i="298"/>
  <c r="K117" i="298"/>
  <c r="G117" i="298"/>
  <c r="A117" i="298"/>
  <c r="L116" i="298"/>
  <c r="K116" i="298"/>
  <c r="G116" i="298"/>
  <c r="A116" i="298"/>
  <c r="L115" i="298"/>
  <c r="K115" i="298"/>
  <c r="G115" i="298"/>
  <c r="A115" i="298"/>
  <c r="L114" i="298"/>
  <c r="K114" i="298"/>
  <c r="G114" i="298"/>
  <c r="A114" i="298"/>
  <c r="L113" i="298"/>
  <c r="K113" i="298"/>
  <c r="G113" i="298"/>
  <c r="A113" i="298"/>
  <c r="L112" i="298"/>
  <c r="K112" i="298"/>
  <c r="G112" i="298"/>
  <c r="A112" i="298"/>
  <c r="L111" i="298"/>
  <c r="K111" i="298"/>
  <c r="G111" i="298"/>
  <c r="A111" i="298"/>
  <c r="L110" i="298"/>
  <c r="K110" i="298"/>
  <c r="G110" i="298"/>
  <c r="A110" i="298"/>
  <c r="L109" i="298"/>
  <c r="K109" i="298"/>
  <c r="G109" i="298"/>
  <c r="A109" i="298"/>
  <c r="L108" i="298"/>
  <c r="K108" i="298"/>
  <c r="G108" i="298"/>
  <c r="A108" i="298"/>
  <c r="L107" i="298"/>
  <c r="K107" i="298"/>
  <c r="G107" i="298"/>
  <c r="A107" i="298"/>
  <c r="L106" i="298"/>
  <c r="K106" i="298"/>
  <c r="G106" i="298"/>
  <c r="A106" i="298"/>
  <c r="L105" i="298"/>
  <c r="K105" i="298"/>
  <c r="G105" i="298"/>
  <c r="A105" i="298"/>
  <c r="A103" i="298"/>
  <c r="A102" i="298"/>
  <c r="A101" i="298"/>
  <c r="L100" i="298"/>
  <c r="K100" i="298"/>
  <c r="G100" i="298"/>
  <c r="A100" i="298"/>
  <c r="L99" i="298"/>
  <c r="K99" i="298"/>
  <c r="G99" i="298"/>
  <c r="A99" i="298"/>
  <c r="L98" i="298"/>
  <c r="K98" i="298"/>
  <c r="G98" i="298"/>
  <c r="A98" i="298"/>
  <c r="L97" i="298"/>
  <c r="K97" i="298"/>
  <c r="G97" i="298"/>
  <c r="A97" i="298"/>
  <c r="L96" i="298"/>
  <c r="K96" i="298"/>
  <c r="G96" i="298"/>
  <c r="A96" i="298"/>
  <c r="L95" i="298"/>
  <c r="K95" i="298"/>
  <c r="G95" i="298"/>
  <c r="A95" i="298"/>
  <c r="L94" i="298"/>
  <c r="K94" i="298"/>
  <c r="G94" i="298"/>
  <c r="A94" i="298"/>
  <c r="L93" i="298"/>
  <c r="K93" i="298"/>
  <c r="G93" i="298"/>
  <c r="A93" i="298"/>
  <c r="L92" i="298"/>
  <c r="K92" i="298"/>
  <c r="G92" i="298"/>
  <c r="A92" i="298"/>
  <c r="L91" i="298"/>
  <c r="K91" i="298"/>
  <c r="G91" i="298"/>
  <c r="A91" i="298"/>
  <c r="L90" i="298"/>
  <c r="K90" i="298"/>
  <c r="G90" i="298"/>
  <c r="A90" i="298"/>
  <c r="L89" i="298"/>
  <c r="K89" i="298"/>
  <c r="G89" i="298"/>
  <c r="A89" i="298"/>
  <c r="L88" i="298"/>
  <c r="K88" i="298"/>
  <c r="G88" i="298"/>
  <c r="A88" i="298"/>
  <c r="L87" i="298"/>
  <c r="K87" i="298"/>
  <c r="G87" i="298"/>
  <c r="E87" i="298"/>
  <c r="A87" i="298"/>
  <c r="L86" i="298"/>
  <c r="K86" i="298"/>
  <c r="G86" i="298"/>
  <c r="A86" i="298"/>
  <c r="L85" i="298"/>
  <c r="K85" i="298"/>
  <c r="G85" i="298"/>
  <c r="A85" i="298"/>
  <c r="L84" i="298"/>
  <c r="K84" i="298"/>
  <c r="G84" i="298"/>
  <c r="L83" i="298"/>
  <c r="K83" i="298"/>
  <c r="G83" i="298"/>
  <c r="F82" i="298"/>
  <c r="A82" i="298"/>
  <c r="L81" i="298"/>
  <c r="K81" i="298"/>
  <c r="G81" i="298"/>
  <c r="L80" i="298"/>
  <c r="K80" i="298"/>
  <c r="G80" i="298"/>
  <c r="L79" i="298"/>
  <c r="K79" i="298"/>
  <c r="G79" i="298"/>
  <c r="L78" i="298"/>
  <c r="K78" i="298"/>
  <c r="G78" i="298"/>
  <c r="L77" i="298"/>
  <c r="K77" i="298"/>
  <c r="G77" i="298"/>
  <c r="F76" i="298"/>
  <c r="A76" i="298"/>
  <c r="L75" i="298"/>
  <c r="K75" i="298"/>
  <c r="G75" i="298"/>
  <c r="L74" i="298"/>
  <c r="K74" i="298"/>
  <c r="G74" i="298"/>
  <c r="L73" i="298"/>
  <c r="K73" i="298"/>
  <c r="G73" i="298"/>
  <c r="F72" i="298"/>
  <c r="A72" i="298"/>
  <c r="L71" i="298"/>
  <c r="K71" i="298"/>
  <c r="G71" i="298"/>
  <c r="L70" i="298"/>
  <c r="K70" i="298"/>
  <c r="G70" i="298"/>
  <c r="L69" i="298"/>
  <c r="K69" i="298"/>
  <c r="G69" i="298"/>
  <c r="L68" i="298"/>
  <c r="K68" i="298"/>
  <c r="G68" i="298"/>
  <c r="L67" i="298"/>
  <c r="K67" i="298"/>
  <c r="G67" i="298"/>
  <c r="F66" i="298"/>
  <c r="A66" i="298"/>
  <c r="L64" i="298"/>
  <c r="K64" i="298"/>
  <c r="L63" i="298"/>
  <c r="K63" i="298"/>
  <c r="G63" i="298"/>
  <c r="A63" i="298"/>
  <c r="L62" i="298"/>
  <c r="K62" i="298"/>
  <c r="G62" i="298"/>
  <c r="A62" i="298"/>
  <c r="L61" i="298"/>
  <c r="K61" i="298"/>
  <c r="G61" i="298"/>
  <c r="A61" i="298"/>
  <c r="L60" i="298"/>
  <c r="K60" i="298"/>
  <c r="G60" i="298"/>
  <c r="A60" i="298"/>
  <c r="L59" i="298"/>
  <c r="K59" i="298"/>
  <c r="G59" i="298"/>
  <c r="A59" i="298"/>
  <c r="L58" i="298"/>
  <c r="K58" i="298"/>
  <c r="G58" i="298"/>
  <c r="F58" i="298"/>
  <c r="A58" i="298"/>
  <c r="L57" i="298"/>
  <c r="K57" i="298"/>
  <c r="G57" i="298"/>
  <c r="A57" i="298"/>
  <c r="L56" i="298"/>
  <c r="K56" i="298"/>
  <c r="G56" i="298"/>
  <c r="A56" i="298"/>
  <c r="L55" i="298"/>
  <c r="K55" i="298"/>
  <c r="G55" i="298"/>
  <c r="A55" i="298"/>
  <c r="L53" i="298"/>
  <c r="K53" i="298"/>
  <c r="L50" i="298"/>
  <c r="K50" i="298"/>
  <c r="G50" i="298"/>
  <c r="L49" i="298"/>
  <c r="K49" i="298"/>
  <c r="G49" i="298"/>
  <c r="A49" i="298"/>
  <c r="L48" i="298"/>
  <c r="K48" i="298"/>
  <c r="G48" i="298"/>
  <c r="A48" i="298"/>
  <c r="AQ47" i="298"/>
  <c r="AL47" i="298"/>
  <c r="AH47" i="298"/>
  <c r="AA47" i="298"/>
  <c r="W47" i="298"/>
  <c r="Q47" i="298"/>
  <c r="K47" i="298" s="1"/>
  <c r="P47" i="298"/>
  <c r="G47" i="298" s="1"/>
  <c r="O47" i="298"/>
  <c r="N47" i="298"/>
  <c r="L47" i="298"/>
  <c r="A47" i="298"/>
  <c r="L46" i="298"/>
  <c r="K46" i="298"/>
  <c r="G46" i="298"/>
  <c r="A46" i="298"/>
  <c r="AQ45" i="298"/>
  <c r="AL45" i="298"/>
  <c r="W45" i="298"/>
  <c r="Q45" i="298"/>
  <c r="P45" i="298"/>
  <c r="G45" i="298" s="1"/>
  <c r="O45" i="298"/>
  <c r="N45" i="298"/>
  <c r="L45" i="298" s="1"/>
  <c r="K45" i="298"/>
  <c r="A45" i="298"/>
  <c r="AQ44" i="298"/>
  <c r="AL44" i="298"/>
  <c r="AH44" i="298"/>
  <c r="W44" i="298"/>
  <c r="Q44" i="298"/>
  <c r="P44" i="298"/>
  <c r="O44" i="298"/>
  <c r="L44" i="298" s="1"/>
  <c r="G44" i="298"/>
  <c r="E44" i="298"/>
  <c r="A44" i="298"/>
  <c r="AH43" i="298"/>
  <c r="O43" i="298"/>
  <c r="M43" i="298"/>
  <c r="L43" i="298" s="1"/>
  <c r="G43" i="298"/>
  <c r="F43" i="298"/>
  <c r="A43" i="298"/>
  <c r="L41" i="298"/>
  <c r="K41" i="298"/>
  <c r="A35" i="298"/>
  <c r="L34" i="298"/>
  <c r="K34" i="298"/>
  <c r="G34" i="298"/>
  <c r="A34" i="298"/>
  <c r="L33" i="298"/>
  <c r="K33" i="298"/>
  <c r="G33" i="298"/>
  <c r="A33" i="298"/>
  <c r="L32" i="298"/>
  <c r="K32" i="298"/>
  <c r="G32" i="298"/>
  <c r="A32" i="298"/>
  <c r="AM31" i="298"/>
  <c r="AJ31" i="298"/>
  <c r="L31" i="298"/>
  <c r="K31" i="298"/>
  <c r="G31" i="298"/>
  <c r="A31" i="298"/>
  <c r="L30" i="298"/>
  <c r="K30" i="298"/>
  <c r="G30" i="298"/>
  <c r="A30" i="298"/>
  <c r="L29" i="298"/>
  <c r="K29" i="298"/>
  <c r="G29" i="298"/>
  <c r="A29" i="298"/>
  <c r="L28" i="298"/>
  <c r="K28" i="298"/>
  <c r="G28" i="298"/>
  <c r="A28" i="298"/>
  <c r="L27" i="298"/>
  <c r="K27" i="298"/>
  <c r="G27" i="298"/>
  <c r="A27" i="298"/>
  <c r="L26" i="298"/>
  <c r="K26" i="298"/>
  <c r="G26" i="298"/>
  <c r="A26" i="298"/>
  <c r="L25" i="298"/>
  <c r="K25" i="298"/>
  <c r="G25" i="298"/>
  <c r="A25" i="298"/>
  <c r="L24" i="298"/>
  <c r="K24" i="298"/>
  <c r="G24" i="298"/>
  <c r="A24" i="298"/>
  <c r="AL23" i="298"/>
  <c r="G23" i="298" s="1"/>
  <c r="AJ23" i="298"/>
  <c r="M23" i="298"/>
  <c r="L23" i="298" s="1"/>
  <c r="K23" i="298"/>
  <c r="A23" i="298"/>
  <c r="L22" i="298"/>
  <c r="K22" i="298"/>
  <c r="G22" i="298"/>
  <c r="A22" i="298"/>
  <c r="L20" i="298"/>
  <c r="K20" i="298"/>
  <c r="AW17" i="298"/>
  <c r="L15" i="298"/>
  <c r="K15" i="298"/>
  <c r="G15" i="298"/>
  <c r="F15" i="298"/>
  <c r="A15" i="298"/>
  <c r="L14" i="298"/>
  <c r="K14" i="298"/>
  <c r="G14" i="298"/>
  <c r="A14" i="298"/>
  <c r="L13" i="298"/>
  <c r="K13" i="298"/>
  <c r="G13" i="298"/>
  <c r="AQ12" i="298"/>
  <c r="AL12" i="298"/>
  <c r="P12" i="298"/>
  <c r="M12" i="298"/>
  <c r="L12" i="298" s="1"/>
  <c r="G12" i="298"/>
  <c r="A11" i="298"/>
  <c r="K12" i="298" l="1"/>
  <c r="K43" i="298"/>
  <c r="K44" i="298"/>
  <c r="G158" i="298"/>
  <c r="K246" i="298"/>
  <c r="K281" i="298"/>
  <c r="K283" i="298"/>
  <c r="G301" i="298"/>
  <c r="G302" i="298"/>
  <c r="K308" i="298"/>
  <c r="K309" i="298"/>
  <c r="K316" i="298"/>
  <c r="K317" i="298"/>
  <c r="K318" i="298"/>
  <c r="K328" i="298"/>
  <c r="K330" i="298"/>
  <c r="G334" i="298"/>
  <c r="G335" i="298"/>
  <c r="G359" i="298"/>
  <c r="G382" i="298"/>
  <c r="G403" i="298"/>
  <c r="G452" i="298"/>
  <c r="K467" i="298"/>
  <c r="K470" i="298"/>
  <c r="G471" i="298"/>
  <c r="K158" i="298"/>
  <c r="K301" i="298"/>
  <c r="K302" i="298"/>
  <c r="K334" i="298"/>
  <c r="K335" i="298"/>
  <c r="K342" i="298"/>
  <c r="K359" i="298"/>
  <c r="K382" i="298"/>
  <c r="K403" i="298"/>
  <c r="K452" i="298"/>
  <c r="K471" i="298"/>
  <c r="G627" i="298"/>
  <c r="L9" i="278"/>
  <c r="M9" i="278"/>
  <c r="N9" i="278"/>
  <c r="N7" i="278" s="1"/>
  <c r="N6" i="278" s="1"/>
  <c r="O9" i="278"/>
  <c r="O7" i="278" s="1"/>
  <c r="O6" i="278" s="1"/>
  <c r="P9" i="278"/>
  <c r="Q9" i="278"/>
  <c r="R9" i="278"/>
  <c r="R7" i="278" s="1"/>
  <c r="S9" i="278"/>
  <c r="S7" i="278" s="1"/>
  <c r="T9" i="278"/>
  <c r="U9" i="278"/>
  <c r="V9" i="278"/>
  <c r="V7" i="278" s="1"/>
  <c r="W9" i="278"/>
  <c r="W7" i="278" s="1"/>
  <c r="X9" i="278"/>
  <c r="Y9" i="278"/>
  <c r="L7" i="278"/>
  <c r="L6" i="278" s="1"/>
  <c r="M7" i="278"/>
  <c r="M6" i="278" s="1"/>
  <c r="P7" i="278"/>
  <c r="P6" i="278" s="1"/>
  <c r="Q7" i="278"/>
  <c r="Q6" i="278" s="1"/>
  <c r="T7" i="278"/>
  <c r="U7" i="278"/>
  <c r="X7" i="278"/>
  <c r="Y7" i="278"/>
  <c r="J50" i="278"/>
  <c r="K50" i="278"/>
  <c r="L50" i="278"/>
  <c r="M50" i="278"/>
  <c r="N50" i="278"/>
  <c r="O50" i="278"/>
  <c r="P50" i="278"/>
  <c r="Q50" i="278"/>
  <c r="R50" i="278"/>
  <c r="S50" i="278"/>
  <c r="T50" i="278"/>
  <c r="U50" i="278"/>
  <c r="V50" i="278"/>
  <c r="W50" i="278"/>
  <c r="X50" i="278"/>
  <c r="X24" i="278" s="1"/>
  <c r="Y50" i="278"/>
  <c r="J43" i="278"/>
  <c r="K43" i="278"/>
  <c r="L43" i="278"/>
  <c r="M43" i="278"/>
  <c r="N43" i="278"/>
  <c r="O43" i="278"/>
  <c r="P43" i="278"/>
  <c r="Q43" i="278"/>
  <c r="R43" i="278"/>
  <c r="S43" i="278"/>
  <c r="T43" i="278"/>
  <c r="U43" i="278"/>
  <c r="V43" i="278"/>
  <c r="W43" i="278"/>
  <c r="W24" i="278" s="1"/>
  <c r="X43" i="278"/>
  <c r="Y43" i="278"/>
  <c r="J31" i="278"/>
  <c r="K31" i="278"/>
  <c r="L31" i="278"/>
  <c r="M31" i="278"/>
  <c r="N31" i="278"/>
  <c r="O31" i="278"/>
  <c r="P31" i="278"/>
  <c r="Q31" i="278"/>
  <c r="R31" i="278"/>
  <c r="S31" i="278"/>
  <c r="T31" i="278"/>
  <c r="U31" i="278"/>
  <c r="V31" i="278"/>
  <c r="W31" i="278"/>
  <c r="X31" i="278"/>
  <c r="Y31" i="278"/>
  <c r="J24" i="278"/>
  <c r="K24" i="278"/>
  <c r="L24" i="278"/>
  <c r="M24" i="278"/>
  <c r="N24" i="278"/>
  <c r="O24" i="278"/>
  <c r="P24" i="278"/>
  <c r="Q24" i="278"/>
  <c r="R24" i="278"/>
  <c r="S24" i="278"/>
  <c r="T24" i="278"/>
  <c r="U24" i="278"/>
  <c r="V24" i="278"/>
  <c r="J7" i="278"/>
  <c r="J6" i="278" s="1"/>
  <c r="K7" i="278"/>
  <c r="K6" i="278" s="1"/>
  <c r="J9" i="278"/>
  <c r="K9" i="278"/>
  <c r="I7" i="278"/>
  <c r="H16" i="278"/>
  <c r="H7" i="278" s="1"/>
  <c r="I9" i="278"/>
  <c r="H9" i="278"/>
  <c r="I50" i="278"/>
  <c r="I24" i="278" s="1"/>
  <c r="I6" i="278" s="1"/>
  <c r="H50" i="278"/>
  <c r="I43" i="278"/>
  <c r="H43" i="278"/>
  <c r="I31" i="278"/>
  <c r="H31" i="278"/>
  <c r="H24" i="278" s="1"/>
  <c r="H6" i="278" s="1"/>
  <c r="AA36" i="280"/>
  <c r="J9" i="280"/>
  <c r="K9" i="280"/>
  <c r="L9" i="280"/>
  <c r="N9" i="280"/>
  <c r="O9" i="280"/>
  <c r="P9" i="280"/>
  <c r="Q9" i="280"/>
  <c r="R9" i="280"/>
  <c r="S9" i="280"/>
  <c r="T9" i="280"/>
  <c r="V9" i="280"/>
  <c r="W9" i="280"/>
  <c r="X9" i="280"/>
  <c r="Y9" i="280"/>
  <c r="Z9" i="280"/>
  <c r="AB9" i="280"/>
  <c r="AC9" i="280"/>
  <c r="AD9" i="280"/>
  <c r="AE9" i="280"/>
  <c r="AF9" i="280"/>
  <c r="AG9" i="280"/>
  <c r="AH9" i="280"/>
  <c r="AI9" i="280"/>
  <c r="AJ9" i="280"/>
  <c r="AK9" i="280"/>
  <c r="AM9" i="280"/>
  <c r="AN9" i="280"/>
  <c r="AO9" i="280"/>
  <c r="AP9" i="280"/>
  <c r="AQ9" i="280"/>
  <c r="AR9" i="280"/>
  <c r="AT9" i="280"/>
  <c r="AU9" i="280"/>
  <c r="AV9" i="280"/>
  <c r="AW9" i="280"/>
  <c r="AX9" i="280"/>
  <c r="AY9" i="280"/>
  <c r="AZ9" i="280"/>
  <c r="BA9" i="280"/>
  <c r="BB9" i="280"/>
  <c r="BC9" i="280"/>
  <c r="BD9" i="280"/>
  <c r="BE9" i="280"/>
  <c r="BF9" i="280"/>
  <c r="BG9" i="280"/>
  <c r="BH9" i="280"/>
  <c r="BJ9" i="280"/>
  <c r="BK9" i="280"/>
  <c r="BL9" i="280"/>
  <c r="BM9" i="280"/>
  <c r="BN9" i="280"/>
  <c r="I9" i="280"/>
  <c r="V7" i="280"/>
  <c r="W7" i="280"/>
  <c r="X7" i="280"/>
  <c r="Y7" i="280"/>
  <c r="Z7" i="280"/>
  <c r="AB7" i="280"/>
  <c r="AC7" i="280"/>
  <c r="AD7" i="280"/>
  <c r="AE7" i="280"/>
  <c r="AF7" i="280"/>
  <c r="AG7" i="280"/>
  <c r="AH7" i="280"/>
  <c r="AI7" i="280"/>
  <c r="AJ7" i="280"/>
  <c r="AK7" i="280"/>
  <c r="AM7" i="280"/>
  <c r="AN7" i="280"/>
  <c r="AO7" i="280"/>
  <c r="AP7" i="280"/>
  <c r="AQ7" i="280"/>
  <c r="AR7" i="280"/>
  <c r="AT7" i="280"/>
  <c r="AU7" i="280"/>
  <c r="AV7" i="280"/>
  <c r="AW7" i="280"/>
  <c r="AX7" i="280"/>
  <c r="AY7" i="280"/>
  <c r="AZ7" i="280"/>
  <c r="BA7" i="280"/>
  <c r="BB7" i="280"/>
  <c r="BC7" i="280"/>
  <c r="BD7" i="280"/>
  <c r="BE7" i="280"/>
  <c r="BF7" i="280"/>
  <c r="BG7" i="280"/>
  <c r="BH7" i="280"/>
  <c r="Y24" i="278" l="1"/>
  <c r="Y6" i="278" s="1"/>
  <c r="X6" i="278"/>
  <c r="W6" i="278"/>
  <c r="V6" i="278"/>
  <c r="U6" i="278"/>
  <c r="T6" i="278"/>
  <c r="S6" i="278"/>
  <c r="R6" i="278"/>
  <c r="AS10" i="280"/>
  <c r="AS11" i="280"/>
  <c r="AS12" i="280"/>
  <c r="AS13" i="280"/>
  <c r="AS14" i="280"/>
  <c r="AS15" i="280"/>
  <c r="AS16" i="280"/>
  <c r="AS17" i="280"/>
  <c r="AS18" i="280"/>
  <c r="AS19" i="280"/>
  <c r="AS20" i="280"/>
  <c r="AS21" i="280"/>
  <c r="AS22" i="280"/>
  <c r="AS23" i="280"/>
  <c r="AA10" i="280"/>
  <c r="AA11" i="280"/>
  <c r="AA12" i="280"/>
  <c r="AA13" i="280"/>
  <c r="AA14" i="280"/>
  <c r="AA15" i="280"/>
  <c r="AA16" i="280"/>
  <c r="AA17" i="280"/>
  <c r="AA18" i="280"/>
  <c r="AA19" i="280"/>
  <c r="AA20" i="280"/>
  <c r="AA21" i="280"/>
  <c r="AA22" i="280"/>
  <c r="AA23" i="280"/>
  <c r="AL10" i="280"/>
  <c r="AL11" i="280"/>
  <c r="AL12" i="280"/>
  <c r="AL13" i="280"/>
  <c r="AL14" i="280"/>
  <c r="AL15" i="280"/>
  <c r="AL16" i="280"/>
  <c r="AL17" i="280"/>
  <c r="AL18" i="280"/>
  <c r="AL19" i="280"/>
  <c r="AL20" i="280"/>
  <c r="AL21" i="280"/>
  <c r="AL22" i="280"/>
  <c r="AL23" i="280"/>
  <c r="R27" i="214"/>
  <c r="AS9" i="280" l="1"/>
  <c r="AS7" i="280"/>
  <c r="AA9" i="280"/>
  <c r="AA7" i="280"/>
  <c r="AL7" i="280"/>
  <c r="AL9" i="280"/>
  <c r="D71" i="214" l="1"/>
  <c r="D70" i="214"/>
  <c r="D69" i="214"/>
  <c r="D68" i="214"/>
  <c r="D67" i="214"/>
  <c r="D65" i="214"/>
  <c r="D64" i="214"/>
  <c r="D63" i="214"/>
  <c r="D62" i="214"/>
  <c r="D61" i="214"/>
  <c r="D60" i="214"/>
  <c r="D59" i="214"/>
  <c r="D58" i="214"/>
  <c r="D57" i="214"/>
  <c r="D56" i="214"/>
  <c r="D55" i="214"/>
  <c r="D54" i="214"/>
  <c r="D53" i="214"/>
  <c r="D52" i="214"/>
  <c r="D51" i="214"/>
  <c r="D48" i="214"/>
  <c r="D47" i="214"/>
  <c r="D46" i="214"/>
  <c r="D45" i="214"/>
  <c r="D44" i="214"/>
  <c r="D43" i="214"/>
  <c r="D41" i="214"/>
  <c r="D40" i="214"/>
  <c r="D39" i="214"/>
  <c r="D38" i="214"/>
  <c r="D37" i="214"/>
  <c r="D36" i="214"/>
  <c r="D35" i="214"/>
  <c r="D34" i="214"/>
  <c r="D33" i="214"/>
  <c r="D32" i="214"/>
  <c r="D29" i="214"/>
  <c r="D28" i="214"/>
  <c r="D27" i="214"/>
  <c r="D26" i="214"/>
  <c r="D25" i="214"/>
  <c r="D22" i="214"/>
  <c r="D21" i="214"/>
  <c r="D20" i="214"/>
  <c r="D19" i="214"/>
  <c r="D18" i="214"/>
  <c r="D12" i="214"/>
  <c r="D13" i="214"/>
  <c r="D14" i="214"/>
  <c r="D15" i="214"/>
  <c r="D16" i="214"/>
  <c r="D11" i="214"/>
  <c r="M16" i="280"/>
  <c r="BI10" i="280"/>
  <c r="BI11" i="280"/>
  <c r="BI12" i="280"/>
  <c r="BI13" i="280"/>
  <c r="BI14" i="280"/>
  <c r="BI15" i="280"/>
  <c r="BI16" i="280"/>
  <c r="BI17" i="280"/>
  <c r="BI18" i="280"/>
  <c r="BI19" i="280"/>
  <c r="BI20" i="280"/>
  <c r="BI21" i="280"/>
  <c r="BI22" i="280"/>
  <c r="BI23" i="280"/>
  <c r="M10" i="280"/>
  <c r="M9" i="280" s="1"/>
  <c r="M11" i="280"/>
  <c r="M12" i="280"/>
  <c r="M13" i="280"/>
  <c r="M14" i="280"/>
  <c r="M15" i="280"/>
  <c r="M72" i="280"/>
  <c r="M71" i="280"/>
  <c r="M70" i="280"/>
  <c r="M69" i="280"/>
  <c r="M68" i="280"/>
  <c r="M66" i="280"/>
  <c r="M65" i="280"/>
  <c r="M64" i="280"/>
  <c r="M63" i="280"/>
  <c r="M62" i="280"/>
  <c r="M61" i="280"/>
  <c r="M60" i="280"/>
  <c r="M59" i="280"/>
  <c r="M58" i="280"/>
  <c r="M57" i="280"/>
  <c r="M56" i="280"/>
  <c r="M55" i="280"/>
  <c r="M54" i="280"/>
  <c r="M53" i="280"/>
  <c r="M52" i="280"/>
  <c r="M49" i="280"/>
  <c r="M48" i="280"/>
  <c r="M47" i="280"/>
  <c r="M46" i="280"/>
  <c r="M45" i="280"/>
  <c r="M44" i="280"/>
  <c r="M42" i="280"/>
  <c r="M41" i="280"/>
  <c r="M40" i="280"/>
  <c r="M39" i="280"/>
  <c r="M38" i="280"/>
  <c r="M37" i="280"/>
  <c r="M36" i="280"/>
  <c r="M35" i="280"/>
  <c r="M34" i="280"/>
  <c r="M33" i="280"/>
  <c r="M30" i="280"/>
  <c r="M29" i="280"/>
  <c r="M28" i="280"/>
  <c r="M27" i="280"/>
  <c r="M26" i="280"/>
  <c r="M21" i="280"/>
  <c r="M22" i="280"/>
  <c r="M23" i="280"/>
  <c r="M20" i="280"/>
  <c r="M17" i="280"/>
  <c r="F72" i="280"/>
  <c r="F71" i="280"/>
  <c r="F70" i="280"/>
  <c r="F69" i="280"/>
  <c r="F68" i="280"/>
  <c r="F67" i="280" s="1"/>
  <c r="F66" i="280"/>
  <c r="F65" i="280"/>
  <c r="F64" i="280"/>
  <c r="F63" i="280"/>
  <c r="F62" i="280"/>
  <c r="F61" i="280"/>
  <c r="F60" i="280"/>
  <c r="F59" i="280"/>
  <c r="F58" i="280"/>
  <c r="F57" i="280"/>
  <c r="F56" i="280"/>
  <c r="F55" i="280"/>
  <c r="F54" i="280"/>
  <c r="F53" i="280"/>
  <c r="F52" i="280"/>
  <c r="F49" i="280"/>
  <c r="F48" i="280"/>
  <c r="F47" i="280"/>
  <c r="F46" i="280"/>
  <c r="F45" i="280"/>
  <c r="F44" i="280"/>
  <c r="F42" i="280"/>
  <c r="F41" i="280"/>
  <c r="F40" i="280"/>
  <c r="F39" i="280"/>
  <c r="F38" i="280"/>
  <c r="F37" i="280"/>
  <c r="F36" i="280"/>
  <c r="F35" i="280"/>
  <c r="F34" i="280"/>
  <c r="F33" i="280"/>
  <c r="F30" i="280"/>
  <c r="F29" i="280"/>
  <c r="F28" i="280"/>
  <c r="F27" i="280"/>
  <c r="F26" i="280"/>
  <c r="F13" i="280"/>
  <c r="F14" i="280"/>
  <c r="F15" i="280"/>
  <c r="F16" i="280"/>
  <c r="F17" i="280"/>
  <c r="F18" i="280"/>
  <c r="F19" i="280"/>
  <c r="F20" i="280"/>
  <c r="F21" i="280"/>
  <c r="F22" i="280"/>
  <c r="F23" i="280"/>
  <c r="F12" i="280"/>
  <c r="F11" i="280"/>
  <c r="F10" i="280"/>
  <c r="AA44" i="280"/>
  <c r="AL72" i="280"/>
  <c r="AL71" i="280"/>
  <c r="AL70" i="280"/>
  <c r="AL69" i="280"/>
  <c r="AL68" i="280"/>
  <c r="AL66" i="280"/>
  <c r="AL65" i="280"/>
  <c r="AL64" i="280"/>
  <c r="AL63" i="280"/>
  <c r="AL62" i="280"/>
  <c r="AL61" i="280"/>
  <c r="AL60" i="280"/>
  <c r="AL59" i="280"/>
  <c r="AL58" i="280"/>
  <c r="AL57" i="280"/>
  <c r="AL56" i="280"/>
  <c r="AL55" i="280"/>
  <c r="AL54" i="280"/>
  <c r="AL53" i="280"/>
  <c r="AL52" i="280"/>
  <c r="AL42" i="280"/>
  <c r="AL41" i="280"/>
  <c r="AL40" i="280"/>
  <c r="AL39" i="280"/>
  <c r="AL38" i="280"/>
  <c r="AL37" i="280"/>
  <c r="AL36" i="280"/>
  <c r="AL35" i="280"/>
  <c r="AL34" i="280"/>
  <c r="AL33" i="280"/>
  <c r="AL30" i="280"/>
  <c r="AL29" i="280"/>
  <c r="AL28" i="280"/>
  <c r="AL27" i="280"/>
  <c r="AS72" i="280"/>
  <c r="AS71" i="280"/>
  <c r="AS70" i="280"/>
  <c r="AS69" i="280"/>
  <c r="AS68" i="280"/>
  <c r="AS66" i="280"/>
  <c r="AS65" i="280"/>
  <c r="AS64" i="280"/>
  <c r="AS63" i="280"/>
  <c r="AS62" i="280"/>
  <c r="AS49" i="280"/>
  <c r="AS48" i="280"/>
  <c r="AS47" i="280"/>
  <c r="AS46" i="280"/>
  <c r="AS45" i="280"/>
  <c r="AS44" i="280"/>
  <c r="AS43" i="280" s="1"/>
  <c r="AS42" i="280"/>
  <c r="AS41" i="280"/>
  <c r="AS40" i="280"/>
  <c r="AS39" i="280"/>
  <c r="AS38" i="280"/>
  <c r="AS37" i="280"/>
  <c r="AS36" i="280"/>
  <c r="AS35" i="280"/>
  <c r="AS34" i="280"/>
  <c r="AS33" i="280"/>
  <c r="BI66" i="280"/>
  <c r="BI65" i="280"/>
  <c r="BI64" i="280"/>
  <c r="BI63" i="280"/>
  <c r="BI62" i="280"/>
  <c r="BI61" i="280"/>
  <c r="BI60" i="280"/>
  <c r="BI59" i="280"/>
  <c r="BI58" i="280"/>
  <c r="BI57" i="280"/>
  <c r="BI56" i="280"/>
  <c r="BI55" i="280"/>
  <c r="BI54" i="280"/>
  <c r="BI53" i="280"/>
  <c r="BI52" i="280"/>
  <c r="BI49" i="280"/>
  <c r="BI48" i="280"/>
  <c r="BI47" i="280"/>
  <c r="BI46" i="280"/>
  <c r="BI45" i="280"/>
  <c r="BI44" i="280"/>
  <c r="BI42" i="280"/>
  <c r="BI41" i="280"/>
  <c r="BI40" i="280"/>
  <c r="BI39" i="280"/>
  <c r="BI38" i="280"/>
  <c r="BI37" i="280"/>
  <c r="BI36" i="280"/>
  <c r="BI35" i="280"/>
  <c r="BI34" i="280"/>
  <c r="BI33" i="280"/>
  <c r="BI27" i="280"/>
  <c r="BI28" i="280"/>
  <c r="BI29" i="280"/>
  <c r="BI30" i="280"/>
  <c r="BI26" i="280"/>
  <c r="AS27" i="280"/>
  <c r="AS28" i="280"/>
  <c r="AS29" i="280"/>
  <c r="AS30" i="280"/>
  <c r="AS26" i="280"/>
  <c r="AL26" i="280"/>
  <c r="AA72" i="280"/>
  <c r="AA71" i="280"/>
  <c r="AA70" i="280"/>
  <c r="AA69" i="280"/>
  <c r="AA68" i="280"/>
  <c r="AA66" i="280"/>
  <c r="AA65" i="280"/>
  <c r="AA64" i="280"/>
  <c r="AA63" i="280"/>
  <c r="AA62" i="280"/>
  <c r="AA61" i="280"/>
  <c r="AA60" i="280"/>
  <c r="AA59" i="280"/>
  <c r="AA58" i="280"/>
  <c r="AA57" i="280"/>
  <c r="AA56" i="280"/>
  <c r="AA55" i="280"/>
  <c r="AA54" i="280"/>
  <c r="AA53" i="280"/>
  <c r="AA52" i="280"/>
  <c r="AA50" i="280" s="1"/>
  <c r="AA49" i="280"/>
  <c r="AA48" i="280"/>
  <c r="AA47" i="280"/>
  <c r="AA46" i="280"/>
  <c r="AA45" i="280"/>
  <c r="AA27" i="280"/>
  <c r="AA28" i="280"/>
  <c r="AA29" i="280"/>
  <c r="AA30" i="280"/>
  <c r="AA26" i="280"/>
  <c r="U72" i="280"/>
  <c r="U71" i="280"/>
  <c r="U70" i="280"/>
  <c r="U68" i="280"/>
  <c r="U10" i="280"/>
  <c r="U11" i="280"/>
  <c r="BO11" i="280" s="1"/>
  <c r="U12" i="280"/>
  <c r="BO12" i="280" s="1"/>
  <c r="U13" i="280"/>
  <c r="BO13" i="280" s="1"/>
  <c r="U14" i="280"/>
  <c r="BO14" i="280" s="1"/>
  <c r="U15" i="280"/>
  <c r="BO15" i="280" s="1"/>
  <c r="U16" i="280"/>
  <c r="BO16" i="280" s="1"/>
  <c r="U17" i="280"/>
  <c r="BO17" i="280" s="1"/>
  <c r="U18" i="280"/>
  <c r="U19" i="280"/>
  <c r="U20" i="280"/>
  <c r="BO20" i="280" s="1"/>
  <c r="U21" i="280"/>
  <c r="BO21" i="280" s="1"/>
  <c r="U22" i="280"/>
  <c r="BO22" i="280" s="1"/>
  <c r="U23" i="280"/>
  <c r="BO23" i="280" s="1"/>
  <c r="G67" i="280"/>
  <c r="H67" i="280"/>
  <c r="I67" i="280"/>
  <c r="J67" i="280"/>
  <c r="K67" i="280"/>
  <c r="L67" i="280"/>
  <c r="N67" i="280"/>
  <c r="O67" i="280"/>
  <c r="P67" i="280"/>
  <c r="Q67" i="280"/>
  <c r="R67" i="280"/>
  <c r="S67" i="280"/>
  <c r="T67" i="280"/>
  <c r="V67" i="280"/>
  <c r="W67" i="280"/>
  <c r="X67" i="280"/>
  <c r="Y67" i="280"/>
  <c r="Z67" i="280"/>
  <c r="AB67" i="280"/>
  <c r="AC67" i="280"/>
  <c r="AD67" i="280"/>
  <c r="AE67" i="280"/>
  <c r="AF67" i="280"/>
  <c r="AG67" i="280"/>
  <c r="AH67" i="280"/>
  <c r="AI67" i="280"/>
  <c r="AJ67" i="280"/>
  <c r="AK67" i="280"/>
  <c r="AL67" i="280"/>
  <c r="AM67" i="280"/>
  <c r="AN67" i="280"/>
  <c r="AO67" i="280"/>
  <c r="AP67" i="280"/>
  <c r="AQ67" i="280"/>
  <c r="AR67" i="280"/>
  <c r="AS67" i="280"/>
  <c r="AT67" i="280"/>
  <c r="AU67" i="280"/>
  <c r="AV67" i="280"/>
  <c r="AW67" i="280"/>
  <c r="AX67" i="280"/>
  <c r="AY67" i="280"/>
  <c r="AZ67" i="280"/>
  <c r="BA67" i="280"/>
  <c r="BB67" i="280"/>
  <c r="BC67" i="280"/>
  <c r="BD67" i="280"/>
  <c r="BE67" i="280"/>
  <c r="BF67" i="280"/>
  <c r="BG67" i="280"/>
  <c r="BH67" i="280"/>
  <c r="BD50" i="280"/>
  <c r="BN50" i="280"/>
  <c r="BM50" i="280"/>
  <c r="BL50" i="280"/>
  <c r="BK50" i="280"/>
  <c r="BJ50" i="280"/>
  <c r="BI50" i="280"/>
  <c r="BH50" i="280"/>
  <c r="BG50" i="280"/>
  <c r="BF50" i="280"/>
  <c r="BE50" i="280"/>
  <c r="G50" i="280"/>
  <c r="H50" i="280"/>
  <c r="I50" i="280"/>
  <c r="J50" i="280"/>
  <c r="K50" i="280"/>
  <c r="L50" i="280"/>
  <c r="N50" i="280"/>
  <c r="O50" i="280"/>
  <c r="P50" i="280"/>
  <c r="Q50" i="280"/>
  <c r="R50" i="280"/>
  <c r="S50" i="280"/>
  <c r="T50" i="280"/>
  <c r="V50" i="280"/>
  <c r="W50" i="280"/>
  <c r="X50" i="280"/>
  <c r="Y50" i="280"/>
  <c r="Z50" i="280"/>
  <c r="AB50" i="280"/>
  <c r="AC50" i="280"/>
  <c r="AD50" i="280"/>
  <c r="AE50" i="280"/>
  <c r="AF50" i="280"/>
  <c r="AG50" i="280"/>
  <c r="AH50" i="280"/>
  <c r="AI50" i="280"/>
  <c r="AJ50" i="280"/>
  <c r="AK50" i="280"/>
  <c r="AM50" i="280"/>
  <c r="AN50" i="280"/>
  <c r="AO50" i="280"/>
  <c r="AP50" i="280"/>
  <c r="AQ50" i="280"/>
  <c r="AR50" i="280"/>
  <c r="BN43" i="280"/>
  <c r="BM43" i="280"/>
  <c r="BL43" i="280"/>
  <c r="BK43" i="280"/>
  <c r="BJ43" i="280"/>
  <c r="BH43" i="280"/>
  <c r="BG43" i="280"/>
  <c r="BF43" i="280"/>
  <c r="BE43" i="280"/>
  <c r="BD43" i="280"/>
  <c r="BC43" i="280"/>
  <c r="BB43" i="280"/>
  <c r="BA43" i="280"/>
  <c r="AZ43" i="280"/>
  <c r="AY43" i="280"/>
  <c r="AX43" i="280"/>
  <c r="AW43" i="280"/>
  <c r="AV43" i="280"/>
  <c r="AU43" i="280"/>
  <c r="AT43" i="280"/>
  <c r="G43" i="280"/>
  <c r="H43" i="280"/>
  <c r="I43" i="280"/>
  <c r="J43" i="280"/>
  <c r="K43" i="280"/>
  <c r="L43" i="280"/>
  <c r="N43" i="280"/>
  <c r="O43" i="280"/>
  <c r="P43" i="280"/>
  <c r="Q43" i="280"/>
  <c r="R43" i="280"/>
  <c r="S43" i="280"/>
  <c r="T43" i="280"/>
  <c r="V43" i="280"/>
  <c r="W43" i="280"/>
  <c r="X43" i="280"/>
  <c r="Y43" i="280"/>
  <c r="Z43" i="280"/>
  <c r="AB43" i="280"/>
  <c r="AC43" i="280"/>
  <c r="AD43" i="280"/>
  <c r="AE43" i="280"/>
  <c r="AF43" i="280"/>
  <c r="AG43" i="280"/>
  <c r="AH43" i="280"/>
  <c r="AI43" i="280"/>
  <c r="AJ43" i="280"/>
  <c r="AK43" i="280"/>
  <c r="AM31" i="280"/>
  <c r="AN31" i="280"/>
  <c r="AO31" i="280"/>
  <c r="AP31" i="280"/>
  <c r="AQ31" i="280"/>
  <c r="AR31" i="280"/>
  <c r="AS31" i="280"/>
  <c r="AT31" i="280"/>
  <c r="AU31" i="280"/>
  <c r="AV31" i="280"/>
  <c r="AW31" i="280"/>
  <c r="AX31" i="280"/>
  <c r="AY31" i="280"/>
  <c r="AZ31" i="280"/>
  <c r="BA31" i="280"/>
  <c r="BB31" i="280"/>
  <c r="BC31" i="280"/>
  <c r="BD31" i="280"/>
  <c r="BE31" i="280"/>
  <c r="BF31" i="280"/>
  <c r="BG31" i="280"/>
  <c r="BH31" i="280"/>
  <c r="BJ31" i="280"/>
  <c r="BK31" i="280"/>
  <c r="BL31" i="280"/>
  <c r="BM31" i="280"/>
  <c r="BN31" i="280"/>
  <c r="G31" i="280"/>
  <c r="H31" i="280"/>
  <c r="I31" i="280"/>
  <c r="J31" i="280"/>
  <c r="K31" i="280"/>
  <c r="L31" i="280"/>
  <c r="M31" i="280"/>
  <c r="N31" i="280"/>
  <c r="O31" i="280"/>
  <c r="P31" i="280"/>
  <c r="Q31" i="280"/>
  <c r="R31" i="280"/>
  <c r="S31" i="280"/>
  <c r="T31" i="280"/>
  <c r="V31" i="280"/>
  <c r="W31" i="280"/>
  <c r="X31" i="280"/>
  <c r="Y31" i="280"/>
  <c r="Z31" i="280"/>
  <c r="O7" i="280"/>
  <c r="P7" i="280"/>
  <c r="BO10" i="280" l="1"/>
  <c r="U9" i="280"/>
  <c r="U7" i="280"/>
  <c r="BO27" i="280"/>
  <c r="BI31" i="280"/>
  <c r="F43" i="280"/>
  <c r="BI43" i="280"/>
  <c r="F50" i="280"/>
  <c r="M50" i="280"/>
  <c r="BI9" i="280"/>
  <c r="BO9" i="280" s="1"/>
  <c r="BI7" i="280"/>
  <c r="F31" i="280"/>
  <c r="E31" i="280" s="1"/>
  <c r="M43" i="280"/>
  <c r="M67" i="280"/>
  <c r="U26" i="280"/>
  <c r="AL31" i="280"/>
  <c r="AL50" i="280"/>
  <c r="U69" i="280"/>
  <c r="U67" i="280" s="1"/>
  <c r="AA67" i="280"/>
  <c r="AA43" i="280"/>
  <c r="BO31" i="280" l="1"/>
  <c r="F73" i="280"/>
  <c r="O73" i="280" l="1"/>
  <c r="P73" i="280"/>
  <c r="E72" i="280"/>
  <c r="BO72" i="280" s="1"/>
  <c r="E71" i="280"/>
  <c r="BO71" i="280" s="1"/>
  <c r="E70" i="280"/>
  <c r="BO70" i="280" s="1"/>
  <c r="E69" i="280"/>
  <c r="BO69" i="280" s="1"/>
  <c r="E68" i="280"/>
  <c r="BO68" i="280" s="1"/>
  <c r="E67" i="280"/>
  <c r="BO67" i="280" s="1"/>
  <c r="E66" i="280"/>
  <c r="BO66" i="280" s="1"/>
  <c r="E65" i="280"/>
  <c r="BO65" i="280" s="1"/>
  <c r="E64" i="280"/>
  <c r="BO64" i="280" s="1"/>
  <c r="E63" i="280"/>
  <c r="BO63" i="280" s="1"/>
  <c r="E62" i="280"/>
  <c r="BO62" i="280" s="1"/>
  <c r="E61" i="280"/>
  <c r="BO61" i="280" s="1"/>
  <c r="E60" i="280"/>
  <c r="BO60" i="280" s="1"/>
  <c r="E59" i="280"/>
  <c r="BO59" i="280" s="1"/>
  <c r="E58" i="280"/>
  <c r="BO58" i="280" s="1"/>
  <c r="E57" i="280"/>
  <c r="BO57" i="280" s="1"/>
  <c r="E56" i="280"/>
  <c r="BO56" i="280" s="1"/>
  <c r="E55" i="280"/>
  <c r="BO55" i="280" s="1"/>
  <c r="E54" i="280"/>
  <c r="BO54" i="280" s="1"/>
  <c r="E53" i="280"/>
  <c r="BO53" i="280" s="1"/>
  <c r="E52" i="280"/>
  <c r="BO52" i="280" s="1"/>
  <c r="E51" i="280"/>
  <c r="E50" i="280"/>
  <c r="BO50" i="280" s="1"/>
  <c r="E49" i="280"/>
  <c r="BO49" i="280" s="1"/>
  <c r="E48" i="280"/>
  <c r="BO48" i="280" s="1"/>
  <c r="E47" i="280"/>
  <c r="BO47" i="280" s="1"/>
  <c r="E46" i="280"/>
  <c r="BO46" i="280" s="1"/>
  <c r="E45" i="280"/>
  <c r="BO45" i="280" s="1"/>
  <c r="E44" i="280"/>
  <c r="BO44" i="280" s="1"/>
  <c r="E43" i="280"/>
  <c r="E42" i="280"/>
  <c r="BO42" i="280" s="1"/>
  <c r="E41" i="280"/>
  <c r="BO41" i="280" s="1"/>
  <c r="E40" i="280"/>
  <c r="BO40" i="280" s="1"/>
  <c r="E39" i="280"/>
  <c r="BO39" i="280" s="1"/>
  <c r="E38" i="280"/>
  <c r="BO38" i="280" s="1"/>
  <c r="E37" i="280"/>
  <c r="BO37" i="280" s="1"/>
  <c r="E36" i="280"/>
  <c r="BO36" i="280" s="1"/>
  <c r="E35" i="280"/>
  <c r="BO35" i="280" s="1"/>
  <c r="E34" i="280"/>
  <c r="BO34" i="280" s="1"/>
  <c r="E33" i="280"/>
  <c r="BO33" i="280" s="1"/>
  <c r="E32" i="280"/>
  <c r="E30" i="280"/>
  <c r="BO30" i="280" s="1"/>
  <c r="E29" i="280"/>
  <c r="BO29" i="280" s="1"/>
  <c r="E28" i="280"/>
  <c r="BO28" i="280" s="1"/>
  <c r="E27" i="280"/>
  <c r="E26" i="280"/>
  <c r="BO26" i="280" s="1"/>
  <c r="E18" i="280"/>
  <c r="E19" i="280"/>
  <c r="G24" i="280"/>
  <c r="H24" i="280"/>
  <c r="I24" i="280"/>
  <c r="J24" i="280"/>
  <c r="K24" i="280"/>
  <c r="L24" i="280"/>
  <c r="M24" i="280"/>
  <c r="N24" i="280"/>
  <c r="O24" i="280"/>
  <c r="P24" i="280"/>
  <c r="Q24" i="280"/>
  <c r="R24" i="280"/>
  <c r="S24" i="280"/>
  <c r="T24" i="280"/>
  <c r="F24" i="280"/>
  <c r="E24" i="280" l="1"/>
  <c r="BQ32" i="280" l="1"/>
  <c r="BP17" i="280"/>
  <c r="BP18" i="280"/>
  <c r="BQ18" i="280" s="1"/>
  <c r="N74" i="280" s="1"/>
  <c r="BP19" i="280"/>
  <c r="BQ19" i="280" s="1"/>
  <c r="BP16" i="280" l="1"/>
  <c r="D8" i="280" l="1"/>
  <c r="D10" i="280"/>
  <c r="D11" i="280"/>
  <c r="D12" i="280"/>
  <c r="D13" i="280"/>
  <c r="D14" i="280"/>
  <c r="D15" i="280"/>
  <c r="D17" i="280"/>
  <c r="D20" i="280"/>
  <c r="D21" i="280"/>
  <c r="D22" i="280"/>
  <c r="D23" i="280"/>
  <c r="D26" i="280"/>
  <c r="D27" i="280"/>
  <c r="D28" i="280"/>
  <c r="D29" i="280"/>
  <c r="D30" i="280"/>
  <c r="D32" i="280"/>
  <c r="D33" i="280"/>
  <c r="D34" i="280"/>
  <c r="D35" i="280"/>
  <c r="D36" i="280"/>
  <c r="D37" i="280"/>
  <c r="D38" i="280"/>
  <c r="D39" i="280"/>
  <c r="D40" i="280"/>
  <c r="D41" i="280"/>
  <c r="D42" i="280"/>
  <c r="D44" i="280"/>
  <c r="D45" i="280"/>
  <c r="D46" i="280"/>
  <c r="D47" i="280"/>
  <c r="D48" i="280"/>
  <c r="D49" i="280"/>
  <c r="D51" i="280"/>
  <c r="D52" i="280"/>
  <c r="D53" i="280"/>
  <c r="D54" i="280"/>
  <c r="D55" i="280"/>
  <c r="D56" i="280"/>
  <c r="D57" i="280"/>
  <c r="D58" i="280"/>
  <c r="D59" i="280"/>
  <c r="D60" i="280"/>
  <c r="D61" i="280"/>
  <c r="D62" i="280"/>
  <c r="D63" i="280"/>
  <c r="D64" i="280"/>
  <c r="D65" i="280"/>
  <c r="D66" i="280"/>
  <c r="D68" i="280"/>
  <c r="D69" i="280"/>
  <c r="D70" i="280"/>
  <c r="D71" i="280"/>
  <c r="D72" i="280"/>
  <c r="N17" i="280" l="1"/>
  <c r="N7" i="280" s="1"/>
  <c r="M7" i="280" s="1"/>
  <c r="BQ17" i="280"/>
  <c r="M74" i="280" s="1"/>
  <c r="N73" i="280"/>
  <c r="E17" i="280"/>
  <c r="D18" i="240" l="1"/>
  <c r="D19" i="240"/>
  <c r="D20" i="240"/>
  <c r="D21" i="240"/>
  <c r="D22" i="240"/>
  <c r="D23" i="240"/>
  <c r="D24" i="240"/>
  <c r="D26" i="240"/>
  <c r="D27" i="240"/>
  <c r="D28" i="240"/>
  <c r="D29" i="240"/>
  <c r="D10" i="240"/>
  <c r="D11" i="240"/>
  <c r="D12" i="240"/>
  <c r="D13" i="240"/>
  <c r="D14" i="240"/>
  <c r="D15" i="240"/>
  <c r="F25" i="240"/>
  <c r="G25" i="240"/>
  <c r="H25" i="240"/>
  <c r="I25" i="240"/>
  <c r="J25" i="240"/>
  <c r="K25" i="240"/>
  <c r="L25" i="240"/>
  <c r="M25" i="240"/>
  <c r="N25" i="240"/>
  <c r="O25" i="240"/>
  <c r="P25" i="240"/>
  <c r="Q25" i="240"/>
  <c r="R25" i="240"/>
  <c r="S25" i="240"/>
  <c r="D25" i="240" s="1"/>
  <c r="E25" i="240"/>
  <c r="F16" i="240"/>
  <c r="G16" i="240"/>
  <c r="H16" i="240"/>
  <c r="I16" i="240"/>
  <c r="J16" i="240"/>
  <c r="K16" i="240"/>
  <c r="L16" i="240"/>
  <c r="M16" i="240"/>
  <c r="N16" i="240"/>
  <c r="O16" i="240"/>
  <c r="P16" i="240"/>
  <c r="Q16" i="240"/>
  <c r="R16" i="240"/>
  <c r="S16" i="240"/>
  <c r="F22" i="240"/>
  <c r="G22" i="240"/>
  <c r="H22" i="240"/>
  <c r="I22" i="240"/>
  <c r="J22" i="240"/>
  <c r="K22" i="240"/>
  <c r="L22" i="240"/>
  <c r="M22" i="240"/>
  <c r="N22" i="240"/>
  <c r="O22" i="240"/>
  <c r="P22" i="240"/>
  <c r="Q22" i="240"/>
  <c r="R22" i="240"/>
  <c r="S22" i="240"/>
  <c r="E22" i="240"/>
  <c r="E16" i="240" s="1"/>
  <c r="F14" i="240"/>
  <c r="G14" i="240"/>
  <c r="H14" i="240"/>
  <c r="H8" i="240" s="1"/>
  <c r="I14" i="240"/>
  <c r="I8" i="240" s="1"/>
  <c r="J14" i="240"/>
  <c r="K14" i="240"/>
  <c r="L14" i="240"/>
  <c r="L8" i="240" s="1"/>
  <c r="M14" i="240"/>
  <c r="M8" i="240" s="1"/>
  <c r="N14" i="240"/>
  <c r="O14" i="240"/>
  <c r="P14" i="240"/>
  <c r="P8" i="240" s="1"/>
  <c r="Q14" i="240"/>
  <c r="Q8" i="240" s="1"/>
  <c r="R14" i="240"/>
  <c r="S14" i="240"/>
  <c r="F8" i="240"/>
  <c r="G8" i="240"/>
  <c r="J8" i="240"/>
  <c r="K8" i="240"/>
  <c r="N8" i="240"/>
  <c r="O8" i="240"/>
  <c r="R8" i="240"/>
  <c r="S8" i="240"/>
  <c r="E14" i="240"/>
  <c r="E8" i="240"/>
  <c r="R27" i="239"/>
  <c r="D16" i="240" l="1"/>
  <c r="D8" i="240"/>
  <c r="D82" i="239" l="1"/>
  <c r="D81" i="239"/>
  <c r="D80" i="239"/>
  <c r="D79" i="239"/>
  <c r="D78" i="239"/>
  <c r="D77" i="239"/>
  <c r="D76" i="239"/>
  <c r="D75" i="239"/>
  <c r="D74" i="239"/>
  <c r="D73" i="239"/>
  <c r="D71" i="239"/>
  <c r="D70" i="239"/>
  <c r="D69" i="239"/>
  <c r="D68" i="239"/>
  <c r="D67" i="239"/>
  <c r="D65" i="239"/>
  <c r="D64" i="239"/>
  <c r="D63" i="239"/>
  <c r="D62" i="239"/>
  <c r="D61" i="239"/>
  <c r="D60" i="239"/>
  <c r="D59" i="239"/>
  <c r="D58" i="239"/>
  <c r="D57" i="239"/>
  <c r="D56" i="239"/>
  <c r="D55" i="239"/>
  <c r="D54" i="239"/>
  <c r="D53" i="239"/>
  <c r="D52" i="239"/>
  <c r="D51" i="239"/>
  <c r="D50" i="239"/>
  <c r="D48" i="239"/>
  <c r="D47" i="239"/>
  <c r="D46" i="239"/>
  <c r="D45" i="239"/>
  <c r="D44" i="239"/>
  <c r="D43" i="239"/>
  <c r="D41" i="239"/>
  <c r="D40" i="239"/>
  <c r="D39" i="239"/>
  <c r="D38" i="239"/>
  <c r="D37" i="239"/>
  <c r="D36" i="239"/>
  <c r="D35" i="239"/>
  <c r="D34" i="239"/>
  <c r="D33" i="239"/>
  <c r="D32" i="239"/>
  <c r="D31" i="239"/>
  <c r="D29" i="239"/>
  <c r="D28" i="239"/>
  <c r="D27" i="239"/>
  <c r="D26" i="239"/>
  <c r="D25" i="239"/>
  <c r="D24" i="239"/>
  <c r="D22" i="239"/>
  <c r="D21" i="239"/>
  <c r="D20" i="239"/>
  <c r="D19" i="239"/>
  <c r="D18" i="239"/>
  <c r="D16" i="239"/>
  <c r="D15" i="239"/>
  <c r="D14" i="239"/>
  <c r="D13" i="239"/>
  <c r="D12" i="239"/>
  <c r="D11" i="239"/>
  <c r="D50" i="235"/>
  <c r="D43" i="235"/>
  <c r="E65" i="235"/>
  <c r="D65" i="235"/>
  <c r="E61" i="235"/>
  <c r="D61" i="235"/>
  <c r="E50" i="235"/>
  <c r="E43" i="235"/>
  <c r="E31" i="235"/>
  <c r="F31" i="235" s="1"/>
  <c r="E28" i="235"/>
  <c r="D28" i="235"/>
  <c r="S66" i="239"/>
  <c r="R66" i="239"/>
  <c r="Q66" i="239"/>
  <c r="P66" i="239"/>
  <c r="O66" i="239"/>
  <c r="N66" i="239"/>
  <c r="M66" i="239"/>
  <c r="L66" i="239"/>
  <c r="K66" i="239"/>
  <c r="J66" i="239"/>
  <c r="I66" i="239"/>
  <c r="H66" i="239"/>
  <c r="G66" i="239"/>
  <c r="F66" i="239"/>
  <c r="E66" i="239"/>
  <c r="S49" i="239"/>
  <c r="R49" i="239"/>
  <c r="Q49" i="239"/>
  <c r="Q23" i="239" s="1"/>
  <c r="P49" i="239"/>
  <c r="O49" i="239"/>
  <c r="N49" i="239"/>
  <c r="M49" i="239"/>
  <c r="M23" i="239" s="1"/>
  <c r="L49" i="239"/>
  <c r="L23" i="239" s="1"/>
  <c r="K49" i="239"/>
  <c r="J49" i="239"/>
  <c r="I49" i="239"/>
  <c r="H49" i="239"/>
  <c r="G49" i="239"/>
  <c r="F49" i="239"/>
  <c r="E49" i="239"/>
  <c r="E23" i="239" s="1"/>
  <c r="S42" i="239"/>
  <c r="R42" i="239"/>
  <c r="Q42" i="239"/>
  <c r="P42" i="239"/>
  <c r="O42" i="239"/>
  <c r="N42" i="239"/>
  <c r="M42" i="239"/>
  <c r="L42" i="239"/>
  <c r="K42" i="239"/>
  <c r="J42" i="239"/>
  <c r="I42" i="239"/>
  <c r="H42" i="239"/>
  <c r="G42" i="239"/>
  <c r="F42" i="239"/>
  <c r="E42" i="239"/>
  <c r="S30" i="239"/>
  <c r="R30" i="239"/>
  <c r="R23" i="239" s="1"/>
  <c r="Q30" i="239"/>
  <c r="P30" i="239"/>
  <c r="O30" i="239"/>
  <c r="N30" i="239"/>
  <c r="N23" i="239" s="1"/>
  <c r="M30" i="239"/>
  <c r="L30" i="239"/>
  <c r="K30" i="239"/>
  <c r="J30" i="239"/>
  <c r="J23" i="239" s="1"/>
  <c r="I30" i="239"/>
  <c r="H30" i="239"/>
  <c r="G30" i="239"/>
  <c r="F30" i="239"/>
  <c r="E30" i="239"/>
  <c r="S17" i="239"/>
  <c r="R17" i="239"/>
  <c r="Q17" i="239"/>
  <c r="P17" i="239"/>
  <c r="O17" i="239"/>
  <c r="N17" i="239"/>
  <c r="M17" i="239"/>
  <c r="L17" i="239"/>
  <c r="K17" i="239"/>
  <c r="J17" i="239"/>
  <c r="I17" i="239"/>
  <c r="H17" i="239"/>
  <c r="G17" i="239"/>
  <c r="F17" i="239"/>
  <c r="E17" i="239"/>
  <c r="D17" i="239"/>
  <c r="S10" i="239"/>
  <c r="R10" i="239"/>
  <c r="Q10" i="239"/>
  <c r="P10" i="239"/>
  <c r="P8" i="239" s="1"/>
  <c r="O10" i="239"/>
  <c r="N10" i="239"/>
  <c r="M10" i="239"/>
  <c r="L10" i="239"/>
  <c r="K10" i="239"/>
  <c r="J10" i="239"/>
  <c r="I10" i="239"/>
  <c r="H10" i="239"/>
  <c r="G10" i="239"/>
  <c r="F10" i="239"/>
  <c r="E10" i="239"/>
  <c r="D10" i="239"/>
  <c r="S8" i="239"/>
  <c r="R8" i="239"/>
  <c r="Q8" i="239"/>
  <c r="O8" i="239"/>
  <c r="N8" i="239"/>
  <c r="M8" i="239"/>
  <c r="L8" i="239"/>
  <c r="K8" i="239"/>
  <c r="J8" i="239"/>
  <c r="I8" i="239"/>
  <c r="H8" i="239"/>
  <c r="G8" i="239"/>
  <c r="F8" i="239"/>
  <c r="E8" i="239"/>
  <c r="D66" i="239" l="1"/>
  <c r="F23" i="239"/>
  <c r="F7" i="239" s="1"/>
  <c r="H23" i="239"/>
  <c r="H7" i="239" s="1"/>
  <c r="D49" i="239"/>
  <c r="I23" i="239"/>
  <c r="I7" i="239" s="1"/>
  <c r="K23" i="239"/>
  <c r="K7" i="239" s="1"/>
  <c r="S23" i="239"/>
  <c r="S7" i="239" s="1"/>
  <c r="G23" i="239"/>
  <c r="G7" i="239" s="1"/>
  <c r="O23" i="239"/>
  <c r="O7" i="239" s="1"/>
  <c r="P23" i="239"/>
  <c r="P7" i="239" s="1"/>
  <c r="D42" i="239"/>
  <c r="L7" i="239"/>
  <c r="J7" i="239"/>
  <c r="N7" i="239"/>
  <c r="D30" i="239"/>
  <c r="R7" i="239"/>
  <c r="Q7" i="239"/>
  <c r="M7" i="239"/>
  <c r="E7" i="239"/>
  <c r="D8" i="239"/>
  <c r="D23" i="239" l="1"/>
  <c r="D7" i="239"/>
  <c r="E24" i="235"/>
  <c r="E18" i="235"/>
  <c r="E11" i="235"/>
  <c r="E9" i="235" s="1"/>
  <c r="G11" i="235"/>
  <c r="G12" i="235"/>
  <c r="G14" i="235"/>
  <c r="G15" i="235"/>
  <c r="G20" i="235"/>
  <c r="G23" i="235"/>
  <c r="G26" i="235"/>
  <c r="G27" i="235"/>
  <c r="G28" i="235"/>
  <c r="G29" i="235"/>
  <c r="G30" i="235"/>
  <c r="G33" i="235"/>
  <c r="G34" i="235"/>
  <c r="G35" i="235"/>
  <c r="G36" i="235"/>
  <c r="G37" i="235"/>
  <c r="G43" i="235"/>
  <c r="G44" i="235"/>
  <c r="G45" i="235"/>
  <c r="G47" i="235"/>
  <c r="G48" i="235"/>
  <c r="G50" i="235"/>
  <c r="G52" i="235"/>
  <c r="G53" i="235"/>
  <c r="G56" i="235"/>
  <c r="G57" i="235"/>
  <c r="G58" i="235"/>
  <c r="G59" i="235"/>
  <c r="G60" i="235"/>
  <c r="G61" i="235"/>
  <c r="G62" i="235"/>
  <c r="G63" i="235"/>
  <c r="G64" i="235"/>
  <c r="G65" i="235"/>
  <c r="F10" i="235"/>
  <c r="F11" i="235"/>
  <c r="F12" i="235"/>
  <c r="F13" i="235"/>
  <c r="F14" i="235"/>
  <c r="F15" i="235"/>
  <c r="F16" i="235"/>
  <c r="F17" i="235"/>
  <c r="F18" i="235"/>
  <c r="F19" i="235"/>
  <c r="F20" i="235"/>
  <c r="F23" i="235"/>
  <c r="F26" i="235"/>
  <c r="F27" i="235"/>
  <c r="F28" i="235"/>
  <c r="F29" i="235"/>
  <c r="F30" i="235"/>
  <c r="F33" i="235"/>
  <c r="F34" i="235"/>
  <c r="F35" i="235"/>
  <c r="F36" i="235"/>
  <c r="F37" i="235"/>
  <c r="F43" i="235"/>
  <c r="F44" i="235"/>
  <c r="F45" i="235"/>
  <c r="F47" i="235"/>
  <c r="F48" i="235"/>
  <c r="F50" i="235"/>
  <c r="F52" i="235"/>
  <c r="F53" i="235"/>
  <c r="F56" i="235"/>
  <c r="F58" i="235"/>
  <c r="F59" i="235"/>
  <c r="F60" i="235"/>
  <c r="F61" i="235"/>
  <c r="F62" i="235"/>
  <c r="F63" i="235"/>
  <c r="F64" i="235"/>
  <c r="F65" i="235"/>
  <c r="E66" i="214"/>
  <c r="F66" i="214"/>
  <c r="G66" i="214"/>
  <c r="H66" i="214"/>
  <c r="I66" i="214"/>
  <c r="J66" i="214"/>
  <c r="K66" i="214"/>
  <c r="L66" i="214"/>
  <c r="M66" i="214"/>
  <c r="N66" i="214"/>
  <c r="O66" i="214"/>
  <c r="P66" i="214"/>
  <c r="Q66" i="214"/>
  <c r="R66" i="214"/>
  <c r="S66" i="214"/>
  <c r="E49" i="214"/>
  <c r="F49" i="214"/>
  <c r="G49" i="214"/>
  <c r="H49" i="214"/>
  <c r="I49" i="214"/>
  <c r="J49" i="214"/>
  <c r="K49" i="214"/>
  <c r="L49" i="214"/>
  <c r="M49" i="214"/>
  <c r="N49" i="214"/>
  <c r="O49" i="214"/>
  <c r="P49" i="214"/>
  <c r="Q49" i="214"/>
  <c r="R49" i="214"/>
  <c r="S49" i="214"/>
  <c r="E42" i="214"/>
  <c r="F42" i="214"/>
  <c r="G42" i="214"/>
  <c r="H42" i="214"/>
  <c r="I42" i="214"/>
  <c r="J42" i="214"/>
  <c r="K42" i="214"/>
  <c r="L42" i="214"/>
  <c r="M42" i="214"/>
  <c r="N42" i="214"/>
  <c r="O42" i="214"/>
  <c r="P42" i="214"/>
  <c r="Q42" i="214"/>
  <c r="R42" i="214"/>
  <c r="S42" i="214"/>
  <c r="E30" i="214"/>
  <c r="E23" i="214" s="1"/>
  <c r="F30" i="214"/>
  <c r="G30" i="214"/>
  <c r="H30" i="214"/>
  <c r="I30" i="214"/>
  <c r="I23" i="214" s="1"/>
  <c r="J30" i="214"/>
  <c r="K30" i="214"/>
  <c r="L30" i="214"/>
  <c r="M30" i="214"/>
  <c r="M23" i="214" s="1"/>
  <c r="N30" i="214"/>
  <c r="O30" i="214"/>
  <c r="P30" i="214"/>
  <c r="Q30" i="214"/>
  <c r="Q23" i="214" s="1"/>
  <c r="R30" i="214"/>
  <c r="S30" i="214"/>
  <c r="J23" i="214"/>
  <c r="N23" i="214"/>
  <c r="E17" i="214"/>
  <c r="F17" i="214"/>
  <c r="G17" i="214"/>
  <c r="H17" i="214"/>
  <c r="I17" i="214"/>
  <c r="J17" i="214"/>
  <c r="K17" i="214"/>
  <c r="L17" i="214"/>
  <c r="M17" i="214"/>
  <c r="N17" i="214"/>
  <c r="O17" i="214"/>
  <c r="P17" i="214"/>
  <c r="Q17" i="214"/>
  <c r="R17" i="214"/>
  <c r="S17" i="214"/>
  <c r="E10" i="214"/>
  <c r="F10" i="214"/>
  <c r="G10" i="214"/>
  <c r="H10" i="214"/>
  <c r="I10" i="214"/>
  <c r="J10" i="214"/>
  <c r="K10" i="214"/>
  <c r="L10" i="214"/>
  <c r="M10" i="214"/>
  <c r="N10" i="214"/>
  <c r="O10" i="214"/>
  <c r="P10" i="214"/>
  <c r="Q10" i="214"/>
  <c r="R10" i="214"/>
  <c r="S10" i="214"/>
  <c r="D10" i="214"/>
  <c r="D9" i="280" s="1"/>
  <c r="D17" i="214"/>
  <c r="D16" i="280" s="1"/>
  <c r="BQ16" i="280" s="1"/>
  <c r="L74" i="280" s="1"/>
  <c r="D30" i="214"/>
  <c r="D42" i="214"/>
  <c r="D43" i="280" s="1"/>
  <c r="D49" i="214"/>
  <c r="D50" i="280" s="1"/>
  <c r="D66" i="214"/>
  <c r="D67" i="280" s="1"/>
  <c r="R23" i="214" l="1"/>
  <c r="D23" i="214"/>
  <c r="D24" i="280" s="1"/>
  <c r="D31" i="280"/>
  <c r="F24" i="235"/>
  <c r="E8" i="235"/>
  <c r="G24" i="235"/>
  <c r="G9" i="235"/>
  <c r="F9" i="235"/>
  <c r="P23" i="214"/>
  <c r="L23" i="214"/>
  <c r="H23" i="214"/>
  <c r="S23" i="214"/>
  <c r="O23" i="214"/>
  <c r="K23" i="214"/>
  <c r="G23" i="214"/>
  <c r="F23" i="214"/>
  <c r="O8" i="214"/>
  <c r="O7" i="214" l="1"/>
  <c r="U8" i="239"/>
  <c r="F8" i="214" l="1"/>
  <c r="F7" i="214" s="1"/>
  <c r="Q8" i="214" l="1"/>
  <c r="Q7" i="214" s="1"/>
  <c r="N8" i="214" l="1"/>
  <c r="N7" i="214" s="1"/>
  <c r="R8" i="214"/>
  <c r="R7" i="214" s="1"/>
  <c r="M8" i="214"/>
  <c r="M7" i="214" s="1"/>
  <c r="D8" i="214"/>
  <c r="D7" i="280" s="1"/>
  <c r="S8" i="214"/>
  <c r="S7" i="214" s="1"/>
  <c r="H8" i="214"/>
  <c r="H7" i="214" s="1"/>
  <c r="K8" i="214" l="1"/>
  <c r="K7" i="214" s="1"/>
  <c r="E8" i="214"/>
  <c r="E7" i="214" s="1"/>
  <c r="P8" i="214"/>
  <c r="P7" i="214" s="1"/>
  <c r="J8" i="214" l="1"/>
  <c r="J7" i="214" s="1"/>
  <c r="G8" i="214"/>
  <c r="G7" i="214" s="1"/>
  <c r="L8" i="214"/>
  <c r="L7" i="214" s="1"/>
  <c r="I8" i="214" l="1"/>
  <c r="I7" i="214" s="1"/>
  <c r="D7" i="214" s="1"/>
  <c r="D6" i="280" s="1"/>
  <c r="F8" i="235" l="1"/>
  <c r="G8" i="235"/>
  <c r="G10" i="280" l="1"/>
  <c r="G73" i="280" l="1"/>
  <c r="BP10" i="280" s="1"/>
  <c r="BQ10" i="280" s="1"/>
  <c r="G9" i="280"/>
  <c r="E10" i="280"/>
  <c r="G7" i="280"/>
  <c r="G74" i="280" l="1"/>
  <c r="E16" i="280"/>
  <c r="Q20" i="280"/>
  <c r="Q7" i="280" s="1"/>
  <c r="T23" i="280"/>
  <c r="E23" i="280" s="1"/>
  <c r="K14" i="280"/>
  <c r="K7" i="280" s="1"/>
  <c r="S22" i="280"/>
  <c r="S73" i="280" s="1"/>
  <c r="BP22" i="280"/>
  <c r="BQ22" i="280" s="1"/>
  <c r="I12" i="280"/>
  <c r="I73" i="280" s="1"/>
  <c r="BP12" i="280" s="1"/>
  <c r="R21" i="280"/>
  <c r="E21" i="280" s="1"/>
  <c r="BP21" i="280"/>
  <c r="BQ21" i="280" s="1"/>
  <c r="L15" i="280"/>
  <c r="E15" i="280" s="1"/>
  <c r="H11" i="280"/>
  <c r="J13" i="280"/>
  <c r="E13" i="280" l="1"/>
  <c r="J73" i="280"/>
  <c r="BP13" i="280" s="1"/>
  <c r="BQ13" i="280" s="1"/>
  <c r="J74" i="280" s="1"/>
  <c r="H7" i="280"/>
  <c r="H9" i="280"/>
  <c r="E9" i="280" s="1"/>
  <c r="J7" i="280"/>
  <c r="L73" i="280"/>
  <c r="E20" i="280"/>
  <c r="Q73" i="280"/>
  <c r="BP20" i="280" s="1"/>
  <c r="BQ20" i="280" s="1"/>
  <c r="Q74" i="280" s="1"/>
  <c r="BP15" i="280"/>
  <c r="BQ15" i="280" s="1"/>
  <c r="K74" i="280" s="1"/>
  <c r="BP14" i="280"/>
  <c r="BQ14" i="280" s="1"/>
  <c r="E14" i="280"/>
  <c r="E12" i="280"/>
  <c r="BQ12" i="280"/>
  <c r="I74" i="280" s="1"/>
  <c r="F7" i="280"/>
  <c r="R7" i="280"/>
  <c r="F9" i="280"/>
  <c r="E7" i="280" s="1"/>
  <c r="R74" i="280"/>
  <c r="S74" i="280"/>
  <c r="E22" i="280"/>
  <c r="K73" i="280"/>
  <c r="R73" i="280"/>
  <c r="M73" i="280"/>
  <c r="T73" i="280"/>
  <c r="BP23" i="280" s="1"/>
  <c r="BQ23" i="280" s="1"/>
  <c r="T74" i="280" s="1"/>
  <c r="H73" i="280"/>
  <c r="BP11" i="280" s="1"/>
  <c r="E11" i="280"/>
  <c r="I7" i="280"/>
  <c r="S7" i="280"/>
  <c r="L7" i="280"/>
  <c r="T7" i="280"/>
  <c r="E73" i="280" l="1"/>
  <c r="BP9" i="280"/>
  <c r="BQ11" i="280"/>
  <c r="H74" i="280" s="1"/>
  <c r="BQ9" i="280" l="1"/>
  <c r="F74" i="280" l="1"/>
  <c r="AU53" i="280"/>
  <c r="Z30" i="280"/>
  <c r="Z24" i="280" s="1"/>
  <c r="BN72" i="280"/>
  <c r="BN67" i="280" s="1"/>
  <c r="BN24" i="280" s="1"/>
  <c r="BA59" i="280"/>
  <c r="AJ41" i="280"/>
  <c r="AY57" i="280"/>
  <c r="AV54" i="280"/>
  <c r="AS54" i="280" s="1"/>
  <c r="U54" i="280" s="1"/>
  <c r="BK69" i="280"/>
  <c r="BK67" i="280" s="1"/>
  <c r="BK24" i="280" s="1"/>
  <c r="AH39" i="280"/>
  <c r="BD62" i="280"/>
  <c r="BD24" i="280" s="1"/>
  <c r="BD73" i="280" s="1"/>
  <c r="BP62" i="280" s="1"/>
  <c r="BM71" i="280"/>
  <c r="AQ48" i="280"/>
  <c r="BC61" i="280"/>
  <c r="BB60" i="280"/>
  <c r="AW55" i="280"/>
  <c r="AW50" i="280" s="1"/>
  <c r="AW24" i="280" s="1"/>
  <c r="AW73" i="280" s="1"/>
  <c r="BP55" i="280" s="1"/>
  <c r="Y29" i="280"/>
  <c r="AF37" i="280"/>
  <c r="AZ58" i="280"/>
  <c r="BL70" i="280"/>
  <c r="BL7" i="280" s="1"/>
  <c r="X28" i="280"/>
  <c r="AK42" i="280"/>
  <c r="AA42" i="280" s="1"/>
  <c r="U42" i="280" s="1"/>
  <c r="AO46" i="280"/>
  <c r="AL46" i="280" s="1"/>
  <c r="U46" i="280" s="1"/>
  <c r="AG38" i="280"/>
  <c r="AR49" i="280"/>
  <c r="AC34" i="280"/>
  <c r="AA34" i="280" s="1"/>
  <c r="U34" i="280" s="1"/>
  <c r="AB33" i="280"/>
  <c r="AX56" i="280"/>
  <c r="AS56" i="280" s="1"/>
  <c r="U56" i="280" s="1"/>
  <c r="AI40" i="280"/>
  <c r="AA40" i="280" s="1"/>
  <c r="U40" i="280" s="1"/>
  <c r="AD35" i="280"/>
  <c r="AA35" i="280" s="1"/>
  <c r="U35" i="280" s="1"/>
  <c r="BJ68" i="280"/>
  <c r="BI68" i="280" s="1"/>
  <c r="AP47" i="280"/>
  <c r="AL47" i="280" s="1"/>
  <c r="U47" i="280" s="1"/>
  <c r="AN45" i="280"/>
  <c r="AM44" i="280"/>
  <c r="AL44" i="280" s="1"/>
  <c r="U44" i="280" s="1"/>
  <c r="AT52" i="280"/>
  <c r="BQ55" i="280" l="1"/>
  <c r="AW74" i="280" s="1"/>
  <c r="BC50" i="280"/>
  <c r="BC24" i="280" s="1"/>
  <c r="BC73" i="280" s="1"/>
  <c r="BP61" i="280" s="1"/>
  <c r="BQ61" i="280" s="1"/>
  <c r="BC74" i="280" s="1"/>
  <c r="BQ62" i="280"/>
  <c r="BD74" i="280" s="1"/>
  <c r="AS55" i="280"/>
  <c r="U55" i="280" s="1"/>
  <c r="U62" i="280"/>
  <c r="AS53" i="280"/>
  <c r="U53" i="280" s="1"/>
  <c r="BI72" i="280"/>
  <c r="BI70" i="280"/>
  <c r="BI69" i="280"/>
  <c r="BI71" i="280"/>
  <c r="AS61" i="280"/>
  <c r="U61" i="280" s="1"/>
  <c r="AS59" i="280"/>
  <c r="U59" i="280" s="1"/>
  <c r="AL49" i="280"/>
  <c r="U49" i="280" s="1"/>
  <c r="AL48" i="280"/>
  <c r="U48" i="280" s="1"/>
  <c r="U30" i="280"/>
  <c r="AB31" i="280"/>
  <c r="X24" i="280"/>
  <c r="X73" i="280"/>
  <c r="BP28" i="280" s="1"/>
  <c r="BQ28" i="280" s="1"/>
  <c r="U28" i="280"/>
  <c r="AS52" i="280"/>
  <c r="AN43" i="280"/>
  <c r="AP43" i="280"/>
  <c r="AA33" i="280"/>
  <c r="U33" i="280" s="1"/>
  <c r="AC31" i="280"/>
  <c r="AO43" i="280"/>
  <c r="Y24" i="280"/>
  <c r="Y73" i="280"/>
  <c r="BP29" i="280" s="1"/>
  <c r="BQ29" i="280" s="1"/>
  <c r="Y74" i="280" s="1"/>
  <c r="U29" i="280"/>
  <c r="AT50" i="280"/>
  <c r="AT24" i="280" s="1"/>
  <c r="AS50" i="280"/>
  <c r="AI31" i="280"/>
  <c r="AM43" i="280"/>
  <c r="AL43" i="280"/>
  <c r="AL45" i="280"/>
  <c r="U45" i="280" s="1"/>
  <c r="BJ7" i="280"/>
  <c r="BI67" i="280"/>
  <c r="BI24" i="280" s="1"/>
  <c r="BJ67" i="280"/>
  <c r="BJ24" i="280" s="1"/>
  <c r="AD31" i="280"/>
  <c r="AX50" i="280"/>
  <c r="AX24" i="280" s="1"/>
  <c r="AX73" i="280" s="1"/>
  <c r="BP56" i="280" s="1"/>
  <c r="BQ56" i="280" s="1"/>
  <c r="AX74" i="280" s="1"/>
  <c r="AA38" i="280"/>
  <c r="U38" i="280" s="1"/>
  <c r="AS58" i="280"/>
  <c r="U58" i="280" s="1"/>
  <c r="AA37" i="280"/>
  <c r="U37" i="280" s="1"/>
  <c r="AS60" i="280"/>
  <c r="U60" i="280" s="1"/>
  <c r="AA39" i="280"/>
  <c r="U39" i="280" s="1"/>
  <c r="AH31" i="280"/>
  <c r="AA41" i="280"/>
  <c r="U41" i="280" s="1"/>
  <c r="Z73" i="280"/>
  <c r="BP30" i="280" s="1"/>
  <c r="BQ30" i="280" s="1"/>
  <c r="Z74" i="280" s="1"/>
  <c r="AY50" i="280"/>
  <c r="AY24" i="280" s="1"/>
  <c r="AY73" i="280" s="1"/>
  <c r="BP57" i="280" s="1"/>
  <c r="AZ50" i="280"/>
  <c r="AZ24" i="280" s="1"/>
  <c r="AZ73" i="280" s="1"/>
  <c r="BP58" i="280" s="1"/>
  <c r="BQ58" i="280" s="1"/>
  <c r="AZ74" i="280" s="1"/>
  <c r="BM7" i="280"/>
  <c r="BB50" i="280"/>
  <c r="BB24" i="280" s="1"/>
  <c r="BB73" i="280" s="1"/>
  <c r="BP60" i="280" s="1"/>
  <c r="BQ60" i="280" s="1"/>
  <c r="BB74" i="280" s="1"/>
  <c r="AR43" i="280"/>
  <c r="BQ57" i="280"/>
  <c r="AY74" i="280" s="1"/>
  <c r="AK31" i="280"/>
  <c r="BN7" i="280"/>
  <c r="BN73" i="280" s="1"/>
  <c r="BP72" i="280" s="1"/>
  <c r="BQ72" i="280" s="1"/>
  <c r="BN74" i="280" s="1"/>
  <c r="BK7" i="280"/>
  <c r="BK73" i="280" s="1"/>
  <c r="BP69" i="280" s="1"/>
  <c r="BQ69" i="280" s="1"/>
  <c r="BK74" i="280" s="1"/>
  <c r="BM67" i="280"/>
  <c r="BM24" i="280" s="1"/>
  <c r="AQ43" i="280"/>
  <c r="AS57" i="280"/>
  <c r="U57" i="280" s="1"/>
  <c r="AG31" i="280"/>
  <c r="AU50" i="280"/>
  <c r="AU24" i="280" s="1"/>
  <c r="AU73" i="280" s="1"/>
  <c r="BP53" i="280" s="1"/>
  <c r="BQ53" i="280" s="1"/>
  <c r="AU74" i="280" s="1"/>
  <c r="AV50" i="280"/>
  <c r="AV24" i="280" s="1"/>
  <c r="AV73" i="280" s="1"/>
  <c r="BP54" i="280" s="1"/>
  <c r="BQ54" i="280" s="1"/>
  <c r="AV74" i="280" s="1"/>
  <c r="AJ31" i="280"/>
  <c r="AF31" i="280"/>
  <c r="BL67" i="280"/>
  <c r="BL24" i="280" s="1"/>
  <c r="BL73" i="280" s="1"/>
  <c r="BP70" i="280" s="1"/>
  <c r="BQ70" i="280" s="1"/>
  <c r="BL74" i="280" s="1"/>
  <c r="BA50" i="280"/>
  <c r="BA24" i="280" s="1"/>
  <c r="BA73" i="280" s="1"/>
  <c r="BP59" i="280" s="1"/>
  <c r="BQ59" i="280" s="1"/>
  <c r="BA74" i="280" s="1"/>
  <c r="BM73" i="280" l="1"/>
  <c r="BP71" i="280" s="1"/>
  <c r="BQ71" i="280" s="1"/>
  <c r="BM74" i="280" s="1"/>
  <c r="AS24" i="280"/>
  <c r="AT73" i="280"/>
  <c r="BJ73" i="280"/>
  <c r="BO43" i="280"/>
  <c r="U43" i="280"/>
  <c r="AQ24" i="280"/>
  <c r="AQ73" i="280" s="1"/>
  <c r="BP48" i="280" s="1"/>
  <c r="BQ48" i="280" s="1"/>
  <c r="AQ74" i="280" s="1"/>
  <c r="AF24" i="280"/>
  <c r="AF73" i="280" s="1"/>
  <c r="BP37" i="280" s="1"/>
  <c r="BQ37" i="280" s="1"/>
  <c r="AF74" i="280" s="1"/>
  <c r="AH24" i="280"/>
  <c r="AH73" i="280" s="1"/>
  <c r="BP39" i="280" s="1"/>
  <c r="BQ39" i="280" s="1"/>
  <c r="AH74" i="280" s="1"/>
  <c r="AG24" i="280"/>
  <c r="AG73" i="280" s="1"/>
  <c r="BP38" i="280" s="1"/>
  <c r="BQ38" i="280" s="1"/>
  <c r="AG74" i="280" s="1"/>
  <c r="AI24" i="280"/>
  <c r="AI73" i="280" s="1"/>
  <c r="BP40" i="280" s="1"/>
  <c r="BQ40" i="280" s="1"/>
  <c r="AI74" i="280" s="1"/>
  <c r="AO24" i="280"/>
  <c r="AO73" i="280" s="1"/>
  <c r="BP46" i="280" s="1"/>
  <c r="BQ46" i="280" s="1"/>
  <c r="AO74" i="280" s="1"/>
  <c r="AP24" i="280"/>
  <c r="AP73" i="280" s="1"/>
  <c r="BP47" i="280" s="1"/>
  <c r="BQ47" i="280" s="1"/>
  <c r="AP74" i="280" s="1"/>
  <c r="AR24" i="280"/>
  <c r="AR73" i="280" s="1"/>
  <c r="BP49" i="280" s="1"/>
  <c r="BQ49" i="280" s="1"/>
  <c r="AR74" i="280" s="1"/>
  <c r="AD24" i="280"/>
  <c r="AD73" i="280" s="1"/>
  <c r="BP35" i="280" s="1"/>
  <c r="BQ35" i="280" s="1"/>
  <c r="AD74" i="280" s="1"/>
  <c r="AN24" i="280"/>
  <c r="AN73" i="280" s="1"/>
  <c r="BP45" i="280" s="1"/>
  <c r="BQ45" i="280" s="1"/>
  <c r="AN74" i="280" s="1"/>
  <c r="X74" i="280"/>
  <c r="AJ24" i="280"/>
  <c r="AJ73" i="280" s="1"/>
  <c r="BP41" i="280" s="1"/>
  <c r="BQ41" i="280" s="1"/>
  <c r="AJ74" i="280" s="1"/>
  <c r="AK24" i="280"/>
  <c r="AK73" i="280" s="1"/>
  <c r="BP42" i="280" s="1"/>
  <c r="BQ42" i="280" s="1"/>
  <c r="AK74" i="280" s="1"/>
  <c r="AM24" i="280"/>
  <c r="AC24" i="280"/>
  <c r="AC73" i="280" s="1"/>
  <c r="BP34" i="280" s="1"/>
  <c r="BQ34" i="280" s="1"/>
  <c r="AC74" i="280" s="1"/>
  <c r="U52" i="280"/>
  <c r="U50" i="280" s="1"/>
  <c r="AB24" i="280"/>
  <c r="AB73" i="280" s="1"/>
  <c r="W27" i="280"/>
  <c r="AS73" i="280" l="1"/>
  <c r="BP52" i="280"/>
  <c r="BI73" i="280"/>
  <c r="BP68" i="280"/>
  <c r="BP33" i="280"/>
  <c r="BQ33" i="280" s="1"/>
  <c r="AM73" i="280"/>
  <c r="AL24" i="280"/>
  <c r="U27" i="280"/>
  <c r="W73" i="280"/>
  <c r="BP27" i="280" s="1"/>
  <c r="W24" i="280"/>
  <c r="BP44" i="280" l="1"/>
  <c r="BQ44" i="280" s="1"/>
  <c r="AM74" i="280" s="1"/>
  <c r="AL73" i="280"/>
  <c r="BQ68" i="280"/>
  <c r="BJ74" i="280" s="1"/>
  <c r="BP67" i="280"/>
  <c r="BQ67" i="280" s="1"/>
  <c r="BI74" i="280" s="1"/>
  <c r="AB74" i="280"/>
  <c r="BQ52" i="280"/>
  <c r="AT74" i="280" s="1"/>
  <c r="BP50" i="280"/>
  <c r="BQ50" i="280" s="1"/>
  <c r="AS74" i="280" s="1"/>
  <c r="BP43" i="280"/>
  <c r="BQ43" i="280" s="1"/>
  <c r="AL74" i="280" s="1"/>
  <c r="BQ27" i="280"/>
  <c r="W74" i="280" s="1"/>
  <c r="BE63" i="280"/>
  <c r="U63" i="280" s="1"/>
  <c r="BE24" i="280" l="1"/>
  <c r="BE73" i="280" s="1"/>
  <c r="BP63" i="280" s="1"/>
  <c r="BQ63" i="280" l="1"/>
  <c r="BE74" i="280" s="1"/>
  <c r="BF64" i="280"/>
  <c r="BF24" i="280" l="1"/>
  <c r="BF73" i="280" s="1"/>
  <c r="BP64" i="280" s="1"/>
  <c r="BQ64" i="280" s="1"/>
  <c r="BF74" i="280" s="1"/>
  <c r="U64" i="280"/>
  <c r="BG65" i="280"/>
  <c r="U65" i="280" l="1"/>
  <c r="BG24" i="280"/>
  <c r="BG73" i="280" s="1"/>
  <c r="BP65" i="280" s="1"/>
  <c r="BQ65" i="280" s="1"/>
  <c r="BG74" i="280" s="1"/>
  <c r="BH66" i="280"/>
  <c r="BH24" i="280" s="1"/>
  <c r="BH73" i="280" s="1"/>
  <c r="BP66" i="280" s="1"/>
  <c r="U66" i="280"/>
  <c r="BQ66" i="280" l="1"/>
  <c r="BH74" i="280" s="1"/>
  <c r="BO7" i="280"/>
  <c r="BP7" i="280" s="1"/>
  <c r="BQ7" i="280" s="1"/>
  <c r="V26" i="280"/>
  <c r="V73" i="280"/>
  <c r="BP26" i="280" l="1"/>
  <c r="BQ26" i="280" s="1"/>
  <c r="P74" i="280"/>
  <c r="O74" i="280"/>
  <c r="E74" i="280"/>
  <c r="V24" i="280"/>
  <c r="V74" i="280" l="1"/>
  <c r="U36" i="280"/>
  <c r="U31" i="280" s="1"/>
  <c r="AE36" i="280"/>
  <c r="AA31" i="280" s="1"/>
  <c r="AE31" i="280" l="1"/>
  <c r="AE24" i="280" s="1"/>
  <c r="AA24" i="280" s="1"/>
  <c r="BO24" i="280" s="1"/>
  <c r="U24" i="280"/>
  <c r="AE73" i="280" l="1"/>
  <c r="BP36" i="280" s="1"/>
  <c r="AA73" i="280"/>
  <c r="U73" i="280" s="1"/>
  <c r="BQ36" i="280" l="1"/>
  <c r="BQ31" i="280" s="1"/>
  <c r="BQ24" i="280" s="1"/>
  <c r="U74" i="280" s="1"/>
  <c r="BP31" i="280"/>
  <c r="BP24" i="280"/>
  <c r="D73" i="280"/>
  <c r="BQ6" i="280"/>
  <c r="BR24" i="280" s="1"/>
  <c r="AE74" i="280"/>
  <c r="AA74" i="280" l="1"/>
  <c r="BR26" i="280"/>
  <c r="BR23" i="280"/>
  <c r="BR25" i="280"/>
  <c r="BR11" i="280"/>
  <c r="BR12" i="280"/>
  <c r="BR16" i="280"/>
  <c r="BR15" i="280"/>
  <c r="BR17" i="280"/>
  <c r="BR21" i="280"/>
  <c r="BR22" i="280"/>
  <c r="BR20" i="280"/>
  <c r="BR13" i="280"/>
  <c r="BR9" i="280"/>
  <c r="BR7" i="280"/>
  <c r="BR28" i="280"/>
  <c r="BR10" i="280"/>
  <c r="BR14" i="280"/>
</calcChain>
</file>

<file path=xl/sharedStrings.xml><?xml version="1.0" encoding="utf-8"?>
<sst xmlns="http://schemas.openxmlformats.org/spreadsheetml/2006/main" count="6755" uniqueCount="1964">
  <si>
    <t>Đơn vị tính: ha</t>
  </si>
  <si>
    <t>TT</t>
  </si>
  <si>
    <t>Đất đô thị</t>
  </si>
  <si>
    <t>Đất nông nghiệp</t>
  </si>
  <si>
    <t>NNP</t>
  </si>
  <si>
    <t>LUA</t>
  </si>
  <si>
    <t>1.1</t>
  </si>
  <si>
    <t>LUC</t>
  </si>
  <si>
    <t>LUK</t>
  </si>
  <si>
    <t>1.2</t>
  </si>
  <si>
    <t>1.3</t>
  </si>
  <si>
    <t>HNK</t>
  </si>
  <si>
    <t>1.4</t>
  </si>
  <si>
    <t>CLN</t>
  </si>
  <si>
    <t>1.5</t>
  </si>
  <si>
    <t>RPH</t>
  </si>
  <si>
    <t>RDD</t>
  </si>
  <si>
    <t>RSX</t>
  </si>
  <si>
    <t>NTS</t>
  </si>
  <si>
    <t>LMU</t>
  </si>
  <si>
    <t>NKH</t>
  </si>
  <si>
    <t>Đất phi nông nghiệp</t>
  </si>
  <si>
    <t>PNN</t>
  </si>
  <si>
    <t>2.1</t>
  </si>
  <si>
    <t>TSC</t>
  </si>
  <si>
    <t>2.2</t>
  </si>
  <si>
    <t>CQP</t>
  </si>
  <si>
    <t>2.3</t>
  </si>
  <si>
    <t>CAN</t>
  </si>
  <si>
    <t>2.4</t>
  </si>
  <si>
    <t>SKK</t>
  </si>
  <si>
    <t>2.5</t>
  </si>
  <si>
    <t>SKC</t>
  </si>
  <si>
    <t>2.6</t>
  </si>
  <si>
    <t>SKS</t>
  </si>
  <si>
    <t>DDT</t>
  </si>
  <si>
    <t>DRA</t>
  </si>
  <si>
    <t>TON</t>
  </si>
  <si>
    <t>TIN</t>
  </si>
  <si>
    <t>NTD</t>
  </si>
  <si>
    <t>SON</t>
  </si>
  <si>
    <t>DHT</t>
  </si>
  <si>
    <t>DGT</t>
  </si>
  <si>
    <t>DTL</t>
  </si>
  <si>
    <t>DNL</t>
  </si>
  <si>
    <t>DBV</t>
  </si>
  <si>
    <t>DVH</t>
  </si>
  <si>
    <t>DYT</t>
  </si>
  <si>
    <t>DGD</t>
  </si>
  <si>
    <t>DTT</t>
  </si>
  <si>
    <t>DKH</t>
  </si>
  <si>
    <t>DXH</t>
  </si>
  <si>
    <t>DCH</t>
  </si>
  <si>
    <t>PNK</t>
  </si>
  <si>
    <t>Đất chưa sử dụng</t>
  </si>
  <si>
    <t>ODT</t>
  </si>
  <si>
    <t>ONT</t>
  </si>
  <si>
    <t>1.1.1</t>
  </si>
  <si>
    <t>1.1.2</t>
  </si>
  <si>
    <t>Đất trồng cây lâu năm</t>
  </si>
  <si>
    <t>Đất rừng phòng hộ</t>
  </si>
  <si>
    <t>Đất rừng đặc dụng</t>
  </si>
  <si>
    <t>Đất rừng sản xuất</t>
  </si>
  <si>
    <t>1.6</t>
  </si>
  <si>
    <t>Đất quốc phòng</t>
  </si>
  <si>
    <t>Đất an ninh</t>
  </si>
  <si>
    <t>Đất khu công nghiệp</t>
  </si>
  <si>
    <t>2.7</t>
  </si>
  <si>
    <t>2.8</t>
  </si>
  <si>
    <t>2.9</t>
  </si>
  <si>
    <t>2.10</t>
  </si>
  <si>
    <t>Đất nuôi trồng thuỷ sản</t>
  </si>
  <si>
    <t>1.7</t>
  </si>
  <si>
    <t>Đất làm muối</t>
  </si>
  <si>
    <t>2.11</t>
  </si>
  <si>
    <t>2.12</t>
  </si>
  <si>
    <t>Đất có mặt nước chuyên dùng</t>
  </si>
  <si>
    <t>I</t>
  </si>
  <si>
    <t>II</t>
  </si>
  <si>
    <t>CSD</t>
  </si>
  <si>
    <t>2.14</t>
  </si>
  <si>
    <t>Đất trồng lúa</t>
  </si>
  <si>
    <t>1.8</t>
  </si>
  <si>
    <t>Khu du lịch</t>
  </si>
  <si>
    <t>Đất nông nghiệp khác</t>
  </si>
  <si>
    <t>1.9</t>
  </si>
  <si>
    <t>Đất cụm công nghiệp</t>
  </si>
  <si>
    <t>SKN</t>
  </si>
  <si>
    <t>TMD</t>
  </si>
  <si>
    <t>Đất cơ sở sản xuất phi nông nghiệp</t>
  </si>
  <si>
    <t>Đất xây dựng trụ sở cơ quan</t>
  </si>
  <si>
    <t>Đất xây dựng trụ sở của tổ chức sự nghiệp</t>
  </si>
  <si>
    <t>DTS</t>
  </si>
  <si>
    <t>Đất sinh hoạt cộng đồng</t>
  </si>
  <si>
    <t>Đất sử dụng cho hoạt động khoáng sản</t>
  </si>
  <si>
    <t>Đất ở tại nông thôn</t>
  </si>
  <si>
    <t>Đất ở tại đô thị</t>
  </si>
  <si>
    <t>Đất xây dựng cơ sở ngoại giao</t>
  </si>
  <si>
    <t>DNG</t>
  </si>
  <si>
    <t>Đất cơ sở tôn giáo</t>
  </si>
  <si>
    <t>DSH</t>
  </si>
  <si>
    <t>DKV</t>
  </si>
  <si>
    <t>Đất cơ sở tín ngưỡng</t>
  </si>
  <si>
    <t>Đất phi nông nghiệp khác</t>
  </si>
  <si>
    <t>Đất khu công nghệ cao</t>
  </si>
  <si>
    <t>Đất khu kinh tế</t>
  </si>
  <si>
    <t>KKT</t>
  </si>
  <si>
    <t>KDT</t>
  </si>
  <si>
    <t>Đất giao thông</t>
  </si>
  <si>
    <t>Đất xây dựng cơ sở văn hóa</t>
  </si>
  <si>
    <t>Đất xây dựng cơ sở dịch vụ xã hội</t>
  </si>
  <si>
    <t>Đất xây dựng cơ sở y tế</t>
  </si>
  <si>
    <t>Đất xây dựng cơ sở thể dục thể thao</t>
  </si>
  <si>
    <t>Đất xây dựng cơ sở khoa học và công nghệ</t>
  </si>
  <si>
    <t>Đất xây dựng công trình sự nghiệp khác</t>
  </si>
  <si>
    <t>Đất công trình năng lượng</t>
  </si>
  <si>
    <t>DSK</t>
  </si>
  <si>
    <t>KDL</t>
  </si>
  <si>
    <t>Cộng giảm</t>
  </si>
  <si>
    <t>Biến động tăng giảm</t>
  </si>
  <si>
    <t>Cộng tăng</t>
  </si>
  <si>
    <t>Tổng diện tích</t>
  </si>
  <si>
    <t>Phân theo đơn vị hành chính</t>
  </si>
  <si>
    <t>BIỂU 01/CH</t>
  </si>
  <si>
    <t>Diện tích (ha)</t>
  </si>
  <si>
    <t>So sánh</t>
  </si>
  <si>
    <t>LUA/PNN</t>
  </si>
  <si>
    <t>CLN/PNN</t>
  </si>
  <si>
    <t>RPH/PNN</t>
  </si>
  <si>
    <t>RDD/PNN</t>
  </si>
  <si>
    <t>RSX/PNN</t>
  </si>
  <si>
    <t>LUA/CLN</t>
  </si>
  <si>
    <t>LUA/LNP</t>
  </si>
  <si>
    <t>PKO/OCT</t>
  </si>
  <si>
    <t>Mã</t>
  </si>
  <si>
    <t>Cơ cấu (%)</t>
  </si>
  <si>
    <t>DIỆN TÍCH, CƠ CẤU SỬ DỤNG ĐẤT CÁC KHU CHỨC NĂNG</t>
  </si>
  <si>
    <t>Tổng diện tích đất tự nhiên</t>
  </si>
  <si>
    <t>BIỂU 05/CH</t>
  </si>
  <si>
    <t xml:space="preserve">Diện tích (ha) </t>
  </si>
  <si>
    <t>-</t>
  </si>
  <si>
    <t>Ký hiệu biểu</t>
  </si>
  <si>
    <t>Tên biểu</t>
  </si>
  <si>
    <t>Biểu 01/CH</t>
  </si>
  <si>
    <t>Biểu 02/CH</t>
  </si>
  <si>
    <t>Biểu 06/CH</t>
  </si>
  <si>
    <t>Biểu 07/CH</t>
  </si>
  <si>
    <t>Tỷ lệ 
(%)</t>
  </si>
  <si>
    <t>BIỂU 02/CH</t>
  </si>
  <si>
    <t>Ghi chú: * Không tổng hợp khi tính tổng diện tích tự nhiên</t>
  </si>
  <si>
    <t>BIỂU 10/CH</t>
  </si>
  <si>
    <t>Chỉ tiêu sử dụng đất</t>
  </si>
  <si>
    <t>Biểu 10/CH</t>
  </si>
  <si>
    <t>Tổng diện tích (ha)</t>
  </si>
  <si>
    <t>DSN</t>
  </si>
  <si>
    <t>CSK</t>
  </si>
  <si>
    <t>CCC</t>
  </si>
  <si>
    <t>Đất bằng chưa sử dụng</t>
  </si>
  <si>
    <t>BCS</t>
  </si>
  <si>
    <t>Đất đồi núi chưa sử dụng</t>
  </si>
  <si>
    <t>DCS</t>
  </si>
  <si>
    <t>Núi đá không có rừng cây</t>
  </si>
  <si>
    <t>NCS</t>
  </si>
  <si>
    <t>RSN</t>
  </si>
  <si>
    <t>RST</t>
  </si>
  <si>
    <t>RSM</t>
  </si>
  <si>
    <t>Đất xây dựng cơ sở giáo dục và đào tạo</t>
  </si>
  <si>
    <t>Tổng</t>
  </si>
  <si>
    <t>KNN</t>
  </si>
  <si>
    <t>Khu bảo tồn thiên nhiên và đa dạng sinh học</t>
  </si>
  <si>
    <t>Khu thương mại - dịch vụ</t>
  </si>
  <si>
    <t>Khu dân cư nông thôn</t>
  </si>
  <si>
    <t>KLN</t>
  </si>
  <si>
    <t>KBT</t>
  </si>
  <si>
    <t>KPC</t>
  </si>
  <si>
    <t>KTM</t>
  </si>
  <si>
    <t>Trong đó:</t>
  </si>
  <si>
    <t>Trong đó: Đất có rừng sản xuất là rừng tự nhiên</t>
  </si>
  <si>
    <t>(1)</t>
  </si>
  <si>
    <t>(2)</t>
  </si>
  <si>
    <t>(3)</t>
  </si>
  <si>
    <t>(5)</t>
  </si>
  <si>
    <t>(6)</t>
  </si>
  <si>
    <t>(7)</t>
  </si>
  <si>
    <t>(8)</t>
  </si>
  <si>
    <t>(9)</t>
  </si>
  <si>
    <t>(10)</t>
  </si>
  <si>
    <t>(11)</t>
  </si>
  <si>
    <t>(12)</t>
  </si>
  <si>
    <t>(13)</t>
  </si>
  <si>
    <t>(14)</t>
  </si>
  <si>
    <t>(15)</t>
  </si>
  <si>
    <t>(16)</t>
  </si>
  <si>
    <t>(17)</t>
  </si>
  <si>
    <t>RSN/PNN</t>
  </si>
  <si>
    <t>Chuyển đổi cơ cấu sử dụng đất trong nội bộ đất nông nghiệp</t>
  </si>
  <si>
    <t>(a) gồm đất sản xuất nông nghiệp, đất nuôi trồng thủy sản, đất làm muối và đất nông nghiệp khác</t>
  </si>
  <si>
    <t>PKO là đất phi nông nghiệp không phải là đất ở.</t>
  </si>
  <si>
    <t>(4)=(5)+…+(17)</t>
  </si>
  <si>
    <t>(4)</t>
  </si>
  <si>
    <t>(6)=(5)-(4)</t>
  </si>
  <si>
    <t>(7)=(5)/(4)*100%</t>
  </si>
  <si>
    <t>Loại đất</t>
  </si>
  <si>
    <t>Đất làm nghĩa trang, nhà tang lễ, nhà hỏa táng</t>
  </si>
  <si>
    <t>Đất thương mại, dịch vụ</t>
  </si>
  <si>
    <t>Đất khu vui chơi, giải trí công cộng</t>
  </si>
  <si>
    <t>Cơ cấu</t>
  </si>
  <si>
    <t xml:space="preserve">Tổng diện tích
</t>
  </si>
  <si>
    <t>Tăng(+), giảm(-)
 (ha)</t>
  </si>
  <si>
    <t>Khu chức năng</t>
  </si>
  <si>
    <t>BIỂU 06/CH</t>
  </si>
  <si>
    <t>KẾT QUẢ THỰC HIỆN KẾ HOẠCH SỬ DỤNG ĐẤT NĂM TRƯỚC</t>
  </si>
  <si>
    <t>Diện tích kế hoạch được duyệt 
(ha)</t>
  </si>
  <si>
    <t>Hạng mục</t>
  </si>
  <si>
    <t>HUYỆN CẦN GIUỘC - TỈNH LONG AN</t>
  </si>
  <si>
    <t>Kết quả thực hiện kế hoạch sử dụng đất năm trước huyện Cần Giuộc, tỉnh Long An</t>
  </si>
  <si>
    <t>Diện tích, cơ cấu sử dụng đất các khu chức năng huyện Cần Giuộc, tỉnh Long An</t>
  </si>
  <si>
    <t>TT Cần Giuộc</t>
  </si>
  <si>
    <t>Xã Đông Thạnh</t>
  </si>
  <si>
    <t>Xã Long An</t>
  </si>
  <si>
    <t>Xã Long Hậu</t>
  </si>
  <si>
    <t>Xã Long Phụng</t>
  </si>
  <si>
    <t>Xã Long Thượng</t>
  </si>
  <si>
    <t>Xã Mỹ Lộc</t>
  </si>
  <si>
    <t>Xã Phước Hậu</t>
  </si>
  <si>
    <t>Xã Phước Lại</t>
  </si>
  <si>
    <t>Xã Phước Lâm</t>
  </si>
  <si>
    <t>Xã Phước Lý</t>
  </si>
  <si>
    <t>Xã Phước Vĩnh Đông</t>
  </si>
  <si>
    <t>Xã Phước Vĩnh Tây</t>
  </si>
  <si>
    <t>Xã Tân Tập</t>
  </si>
  <si>
    <t>Xã Thuận Thành</t>
  </si>
  <si>
    <t>Chu chuyển các loại đất trong năm 2024</t>
  </si>
  <si>
    <t>Kết quả thực hiện kế hoạch sử dụng đất năm trước theo hồ sơ pháp lý huyện Cần Giuộc, tỉnh Long An</t>
  </si>
  <si>
    <t>Chu chuyển đất đai trong kế hoạch sử dụng đất năm 2024 theo hồ sơ pháp lý huyện Cần Giuộc, tỉnh Long An</t>
  </si>
  <si>
    <t>PHỤ LỤC</t>
  </si>
  <si>
    <t>Biểu 02a/CH</t>
  </si>
  <si>
    <t>Biểu 13a/CH</t>
  </si>
  <si>
    <t>Biểu 01a/CH</t>
  </si>
  <si>
    <t>Hiện trạng sử dụng đất năm 2023 theo hồ sơ pháp lý huyện Cần Giuộc, tỉnh Long An</t>
  </si>
  <si>
    <t>Diện tích KH (ha)</t>
  </si>
  <si>
    <t>Diện tích HT (ha)</t>
  </si>
  <si>
    <t>Diện tích tăng thêm (ha)</t>
  </si>
  <si>
    <t xml:space="preserve">Loại đất lấy vào </t>
  </si>
  <si>
    <t>Công thức</t>
  </si>
  <si>
    <t>Hàm</t>
  </si>
  <si>
    <t>Địa điểm đến cấp xã</t>
  </si>
  <si>
    <t>Vị trí trên bản đồ</t>
  </si>
  <si>
    <t>Tọa độ trên bản đồ</t>
  </si>
  <si>
    <t>Đánh giá khi điều tra tại huyện</t>
  </si>
  <si>
    <t>Căn cứ pháp lý</t>
  </si>
  <si>
    <t>Năm Kế hoạch</t>
  </si>
  <si>
    <t>Đã thực hiện</t>
  </si>
  <si>
    <t>Hủy bỏ</t>
  </si>
  <si>
    <t>Chuyển tiếp</t>
  </si>
  <si>
    <t>Đang thực hiện</t>
  </si>
  <si>
    <t>Đánh giá</t>
  </si>
  <si>
    <t>Doanh trại Ban CHQS huyện</t>
  </si>
  <si>
    <t>Long An</t>
  </si>
  <si>
    <t>Tờ 1</t>
  </si>
  <si>
    <t>Đang GPMB, còn 1 hộ</t>
  </si>
  <si>
    <t>Văn bản số 8109/UBND-KTTC về việc điều chỉnh quy hoạch, xây dựng Ban CHQS huyện Cần Giuộc</t>
  </si>
  <si>
    <t>KH 2020</t>
  </si>
  <si>
    <t>x</t>
  </si>
  <si>
    <t>Nhập diện tích tổng theo Quy hoạch, trong Kh diện tích giảm do trích 1 phần đất để làm trung tâm văn hóa</t>
  </si>
  <si>
    <t>Tờ 74</t>
  </si>
  <si>
    <t>Tân Tập</t>
  </si>
  <si>
    <t>KH 2021</t>
  </si>
  <si>
    <t>Quy hoạch công trình quốc phòng trên địa bàn huyện</t>
  </si>
  <si>
    <t>Các xã, thị trấn</t>
  </si>
  <si>
    <t>KH 2023</t>
  </si>
  <si>
    <t>Trụ sở công an thị trấn Cần Giuộc</t>
  </si>
  <si>
    <t>Thửa 15, 19 TBĐ 44</t>
  </si>
  <si>
    <t>Trụ sở công an xã Long An</t>
  </si>
  <si>
    <t>Thửa 1906, TBĐ 3</t>
  </si>
  <si>
    <t>Xã ý kiến chỉ để thửa 1906</t>
  </si>
  <si>
    <t>Trụ sở công an xã Long Phụng</t>
  </si>
  <si>
    <t>Long Phụng</t>
  </si>
  <si>
    <t>Thửa 61 TBĐ 4</t>
  </si>
  <si>
    <t>Trụ sở công an xã Long Thượng</t>
  </si>
  <si>
    <t>Long Thượng</t>
  </si>
  <si>
    <t>Thửa 149, tờ 15</t>
  </si>
  <si>
    <t>Trụ sở công an xã Phước Hậu</t>
  </si>
  <si>
    <t>Phước Hậu</t>
  </si>
  <si>
    <t>Thửa 791, 792 (mpt), tờ 2</t>
  </si>
  <si>
    <t>Trụ sở công an xã Phước Lại</t>
  </si>
  <si>
    <t>Phước Lại</t>
  </si>
  <si>
    <t>Thửa 3631, 3632, tờ 2 ( bđ chỉnh lý )</t>
  </si>
  <si>
    <t>Trụ sở công an xã Phước Lâm</t>
  </si>
  <si>
    <t>Phước Lâm</t>
  </si>
  <si>
    <t>Thửa 3175 (mpt), 3176 (mpt) TBĐ số 03</t>
  </si>
  <si>
    <t>Trụ sở công an xã Phước Vĩnh Đông</t>
  </si>
  <si>
    <t>Phước Vĩnh Đông</t>
  </si>
  <si>
    <t>Thửa 646 (mpt), tờ 4 (VN2000)</t>
  </si>
  <si>
    <t>Trụ sở công an xã Phước Vĩnh Tây</t>
  </si>
  <si>
    <t>Phước Vĩnh Tây</t>
  </si>
  <si>
    <t xml:space="preserve">Thửa 66,68(mpt), TBĐ 03. </t>
  </si>
  <si>
    <t>Trụ sở công an xã Tân Tập</t>
  </si>
  <si>
    <t xml:space="preserve">TBĐ 4 thửa 973 (mpt). </t>
  </si>
  <si>
    <t>Trụ sở công an xã Thuận Thành</t>
  </si>
  <si>
    <t>Thuận Thành</t>
  </si>
  <si>
    <t>Thửa 1751 (mpt),TBĐ 4</t>
  </si>
  <si>
    <t>Mở rộng Trụ sở Công an huyện</t>
  </si>
  <si>
    <t>TT Cần Giuộc (Trường Bình cũ)</t>
  </si>
  <si>
    <t>Thửa 135(mpt), 164, 165(mpt), 166, 133(mpt), 132(mpt), 167, 200(mpt), 131(mpt), 170(mpt), 169, 168, 199(mpt), 198(mpt), 197(mpt), 195, 193, 192(mpt), 177(mpt); TBĐ 61</t>
  </si>
  <si>
    <t>Mở rộng Trụ sở Công an xã Mỹ Lộc</t>
  </si>
  <si>
    <t>Mỹ Lộc</t>
  </si>
  <si>
    <t>Thửa 776, 749 (mpt), 87 TBĐ 10</t>
  </si>
  <si>
    <t>Trụ sở công an xã Phước Lý (Cấp GCN)</t>
  </si>
  <si>
    <t>Phước Lý</t>
  </si>
  <si>
    <t>TBĐ 18 thửa 392,413</t>
  </si>
  <si>
    <t>Xây xong, chờ cấp GCN</t>
  </si>
  <si>
    <t>Khu công nghiệp Tân Kim</t>
  </si>
  <si>
    <t>TT Cần Giuộc (Tân Kim Cũ)</t>
  </si>
  <si>
    <t>TBĐ 59</t>
  </si>
  <si>
    <t>Còn 5.37 ha chưa thực hiện</t>
  </si>
  <si>
    <t>KH 2022</t>
  </si>
  <si>
    <t xml:space="preserve">Khu công nghiệp Long Hậu 3 </t>
  </si>
  <si>
    <t>Long Hậu</t>
  </si>
  <si>
    <t>TBĐ 4</t>
  </si>
  <si>
    <t>Khu công nghiệp Long Hậu giai đoạn 2 mở rộng</t>
  </si>
  <si>
    <t xml:space="preserve">Khu công nghiệp Tân Tập </t>
  </si>
  <si>
    <t>Khu công nghiệp Nam Tân Tập (GPMB phần còn lại trừ các dự án đã được chấp thuận)</t>
  </si>
  <si>
    <t>đã thực hiện 76 ha/160 ha</t>
  </si>
  <si>
    <t>Khu công nghiệp Đông Nam Á (giai đoạn 2)</t>
  </si>
  <si>
    <t>TBĐ 2, TBĐ 3</t>
  </si>
  <si>
    <t>đang kê biên kiểm đếm</t>
  </si>
  <si>
    <t>Khu công nghiệp Đông Nam Á (giai đoạn 1)</t>
  </si>
  <si>
    <t xml:space="preserve">Quyết định số 9723/QĐ-UBND ngày 19/10/2023 của UBND tỉnh về việc bổ sung kế hoạch sử dụng đất năm 2023 của huyện Cần Giuộc </t>
  </si>
  <si>
    <t>Cụm công nghiệp Tân Tập</t>
  </si>
  <si>
    <t>TBĐ 1</t>
  </si>
  <si>
    <t>Cụm công nghiệp Đông Quang</t>
  </si>
  <si>
    <t>TBĐ 3</t>
  </si>
  <si>
    <t>Nghị quyết số 03/NQ-HĐND ngày 28/2/2023 của HĐND tỉnh thông qua danh mục thu hồi đất năm 2023</t>
  </si>
  <si>
    <t>Cụm công nghiệp Long Phụng</t>
  </si>
  <si>
    <t>TBĐ 3, 4</t>
  </si>
  <si>
    <t>Cụm công nghiệp Hải Sơn</t>
  </si>
  <si>
    <t>TBĐ 6</t>
  </si>
  <si>
    <t>Đang kê biên, kiểm đếm</t>
  </si>
  <si>
    <t>Cụm công nghiệp Phước Vĩnh Đông 1</t>
  </si>
  <si>
    <t>TBĐ 1, 2, 3, 4</t>
  </si>
  <si>
    <t>Cụm công nghiệp Phước Vĩnh Đông 2</t>
  </si>
  <si>
    <t>TBĐ 2, 3</t>
  </si>
  <si>
    <t xml:space="preserve">Cụm công nghiệp Phước Vĩnh Đông 3 </t>
  </si>
  <si>
    <t xml:space="preserve">Cụm công nghiệp Phước Vĩnh Đông 4 </t>
  </si>
  <si>
    <t>TBĐ 8</t>
  </si>
  <si>
    <t>Trung tâm kho vận dịch vụ Logistics</t>
  </si>
  <si>
    <t>Tổng kho xăng dầu 01</t>
  </si>
  <si>
    <t>Thửa 824, 826, 828, 973, 977, 2628, 3256, 976, 3495 TBĐ 3</t>
  </si>
  <si>
    <t>Cửa hàng kinh doanh, giới thiệu các loại vỏ xe ô tô, bãi rửa xe, gửi giữ xe ô tô</t>
  </si>
  <si>
    <t>Thửa đất 31; 1644; 142;141; 3181; 3182; 3183; 3184 TBĐ 03</t>
  </si>
  <si>
    <t>Tổng kho xăng dầu</t>
  </si>
  <si>
    <t>Kho chứa hàng inox</t>
  </si>
  <si>
    <t>Thửa 356, 27, 929 TBĐ 6</t>
  </si>
  <si>
    <t>Khu Dịch vụ công nghiệp Đông Nam Á Long An</t>
  </si>
  <si>
    <t>TBĐ 3, 4, 6</t>
  </si>
  <si>
    <t>đã thực hiện 73.5 ha</t>
  </si>
  <si>
    <t>ĐKM</t>
  </si>
  <si>
    <t>KH 2024</t>
  </si>
  <si>
    <t>Cơ sở kinh doanh Dương Thị Thúy Ái (Nhà kho chứa hàng)</t>
  </si>
  <si>
    <t>Thửa 659 TBĐ 01</t>
  </si>
  <si>
    <t>Thửa 3213 TBĐ 03</t>
  </si>
  <si>
    <t>Cơ sở kinh doanh Lợi Lợi Phát (Nhà kho chứa hàng)</t>
  </si>
  <si>
    <t>Thửa 191 (mpt), 2327 TBĐ 04</t>
  </si>
  <si>
    <t>Thửa 786, 787, 790, 791, 1080, 1082, 1083 TBĐ 03</t>
  </si>
  <si>
    <t>Thửa 212, 213, 443, 451, 4284, 4835, 5052, 7294 TBĐ 03</t>
  </si>
  <si>
    <t>Thửa 457, 474 TBĐ 14</t>
  </si>
  <si>
    <t>QH Cơ sở SXKD Mãn Thành</t>
  </si>
  <si>
    <t>Thửa 89 TBĐ 26</t>
  </si>
  <si>
    <t>Cơ sở sửa chữa và đóng mới phương tiện đường thủy</t>
  </si>
  <si>
    <t>Đông Thạnh</t>
  </si>
  <si>
    <t>Thửa 1427, 1428, 1425, 1431, 1433, 1439</t>
  </si>
  <si>
    <t>Cơ sở sản xuất kinh doanh</t>
  </si>
  <si>
    <t>Thửa 507, 716 - tờ 19</t>
  </si>
  <si>
    <t>Đấu giá quyền sử dụng đất thửa đất thuộc TBĐ số 01</t>
  </si>
  <si>
    <t>TBĐ số 01</t>
  </si>
  <si>
    <t>Quy hoạch đất sản xuất kinh doanh</t>
  </si>
  <si>
    <t>Thửa đất số: 1261, 5752, 3438, 1265 cùng tờ bản đồ số: 02</t>
  </si>
  <si>
    <t>Thửa 1637, 1638 TBĐ 03</t>
  </si>
  <si>
    <t>Nhà xưởng, dịch vụ kinh doanh kho ngoại quan và cho thuê bến bãi - Công ty xi măng Phúc Sơn (thuộc KCN Nam Tân Tập)</t>
  </si>
  <si>
    <t>Kh 2021</t>
  </si>
  <si>
    <t>Xưởng gia công may (quần áo, giỏ xách, giày)</t>
  </si>
  <si>
    <t>Thửa 863, 437, 488, 774, 489, TBĐ 25 (Tờ 16 VN 2000)</t>
  </si>
  <si>
    <t>Quyết định số 5171/QĐ-UBND ngày 31/12/2020 của UBND tỉnh</t>
  </si>
  <si>
    <t>Theo NQ số 02/NQ-HĐND ngày 26/2/2021 LUA 0,37 ha</t>
  </si>
  <si>
    <t>Sản xuất đồ gỗ nội thất, đồ gia dụng các loại (các sản phẩm làm từ gỗ, ván)</t>
  </si>
  <si>
    <t>Thửa 433, 452, 453, 476, 477, 979 - tờ 25 - BĐ chỉnh lý ( Tờ 16 VN 2000)</t>
  </si>
  <si>
    <t>Quyết định số 828/QĐ-UBND ngày 28/1/2021 của UBND tỉnh</t>
  </si>
  <si>
    <t>Theo NQ số 02/NQ-HĐND ngày 26/2/2021 LUA 0,85 ha</t>
  </si>
  <si>
    <t>Mở rộng xưởng dệt bao bì từ nhựa PP (Hạng mục: Nhà kho chứa bao bì thành phẩm, nhà ăn, nhà để xe công nhân)</t>
  </si>
  <si>
    <t>161, 162, 2581 TBĐ 03</t>
  </si>
  <si>
    <t>Quyết định số 5172/QĐ-UBND ngày 31/12/2020 của UBND tỉnh</t>
  </si>
  <si>
    <t>Theo NQ số 02/NQ-HĐND ngày 26/2/2021 LUA 0,45 ha</t>
  </si>
  <si>
    <t>Mở rộng nhà văn phòng và công trình phụ trợ phục vụ dự án hiện hữu</t>
  </si>
  <si>
    <t>TBĐ 1, 18</t>
  </si>
  <si>
    <t>Quyết định số 2016/QĐ-UBND ngày 07/6/2019; Quyết định số 1988/QĐ-UBND ngày 08/3/2022</t>
  </si>
  <si>
    <t>Theo NQ số 44/NQ-HĐND ngày 13/7/2022 NQ về CMĐ đất trồng lúa thì LUA: 0,2 ha</t>
  </si>
  <si>
    <t>Xưởng đóng tàu thủy, sà lan</t>
  </si>
  <si>
    <t>Thửa 2428, 2300, 2429 TBĐ 7</t>
  </si>
  <si>
    <t>Đã có xưởng đang hoạt động, đang chờ hoàn thiện thủ tục</t>
  </si>
  <si>
    <t>Cơ sở giết mổ gia súc, gia cầm - Công ty TNHH Ngọc Sơn</t>
  </si>
  <si>
    <t>TBĐ 02, TBĐ 04</t>
  </si>
  <si>
    <t>Quy hoạch các tuyến giao thông trên địa bàn các xã, thị trấn</t>
  </si>
  <si>
    <t>Mở rộng đường Bờ Chùa (đoạn từ ĐT.835B đến ranh Cần Đước)</t>
  </si>
  <si>
    <t>Đường liên xóm ấp Trong (đoạn Sáu Phẩm)</t>
  </si>
  <si>
    <t>Đường liên xóm ấp Ngoài (đoạn Cô Chín đồ cũ)</t>
  </si>
  <si>
    <t>Đê bao Rạch Chanh - Trị Yên (từ ĐT. 835B đến ranh Mỹ Lộc)</t>
  </si>
  <si>
    <t>Mpt các thửa 527, 679, 1526, 525, 2461, 524, 522, 520, 2256, 242, 1720, 240, 130, 129, 49, 48, 46, 45, 44, 43, 41, 38, 37, 36, 34, 33, 2162, 83, 2515, 5048, 2513, 681 cùng thuộc tờ bản đồ số 02</t>
  </si>
  <si>
    <t>Đường liên xóm ấp Long Khánh (đoạn Út Đổng)</t>
  </si>
  <si>
    <t>Đường vào nghĩa trang Nhân dân xã Phước Lâm</t>
  </si>
  <si>
    <t>Làm mới, mở rộng đường GTNT ấp Lộc Tiền (đoạn từ HL20 đến đường Hai Trương)</t>
  </si>
  <si>
    <t>Nối đường huyện 20 và đường Trần Văn Thôi, TBĐ 15 và 16 dài 445,5m</t>
  </si>
  <si>
    <t>Đường Vành đai 4 Thành phố Hồ Chí Minh</t>
  </si>
  <si>
    <t>TBĐ 2, 4</t>
  </si>
  <si>
    <t>ĐT.826D (Tân Tập-Long Hậu) đoạn từ Vành đai 4 - ĐT.830 (bao gồm Cầu Tắc Cạn và Cầu Đông An)</t>
  </si>
  <si>
    <t>TBĐ 4, 5</t>
  </si>
  <si>
    <t>TBĐ 1, 4</t>
  </si>
  <si>
    <t>Đường tỉnh 827E (QL.50B)</t>
  </si>
  <si>
    <t>TT Cần Giuộc (Tân Kim cũ)</t>
  </si>
  <si>
    <t>Cầu bắc qua sông Cần Giuộc và đường dẫn</t>
  </si>
  <si>
    <t>Đường kết nối đường dẫn cầu Rạch Dơi đến Đường tỉnh 826E</t>
  </si>
  <si>
    <t>ĐT. 826E (đoạn từ nút giao với ĐT. 826C đến Cầu Cần Giuộc)</t>
  </si>
  <si>
    <t>Đang san lấp mặt bằng</t>
  </si>
  <si>
    <t>Bến cảng Tổng kho xăng dầu Long An</t>
  </si>
  <si>
    <t>Cảng dầu khí Pacific Petro</t>
  </si>
  <si>
    <t>Khu cảng Quốc tế Long An</t>
  </si>
  <si>
    <t>TBĐ 2</t>
  </si>
  <si>
    <t>Mở rộng đường huyện 19 (đoạn từ ngã ba giao ĐT.830 đến trụ sở UBND xã Long Phụng)</t>
  </si>
  <si>
    <t>Mở rộng ĐT 830 giai đoạn 2 (vòng xoay)</t>
  </si>
  <si>
    <t>Thửa 80, 83, 84, 86, 92. Mpt 1500, 87, 88, 90, 156 TBĐ 10</t>
  </si>
  <si>
    <t>Đường Cầu Đen đấu nối ra ĐT 835</t>
  </si>
  <si>
    <t>Thửa 367,392 TBĐ 01</t>
  </si>
  <si>
    <t>Đường Đê bao Ông Hiếu</t>
  </si>
  <si>
    <t>Đường Chánh Nhứt - Chánh Nhì (đoạn K3 nối dài qua đường Kiến Vàng)</t>
  </si>
  <si>
    <t>Làm mới, mở rộng đường Hai Sậu</t>
  </si>
  <si>
    <t>TBĐ 5, 9 - Lộc Trung</t>
  </si>
  <si>
    <t>Làm mới, mở rộng đường Tám Ken</t>
  </si>
  <si>
    <t>TBĐ 6, 9, 10 - Lộc Trung và Lộc Hậu</t>
  </si>
  <si>
    <t>Làm mới, mở rộng đường Miễu Mỹ Điền</t>
  </si>
  <si>
    <t>TBĐ 30 - Kế Mỹ</t>
  </si>
  <si>
    <t>Làm mới, mở rộng đường GTNT ấp Lộc Trung (đoạn từ đường cộng đồng Lộc Trung đến ranh xã Phước Hậu)</t>
  </si>
  <si>
    <t>TBĐ 4, 5 - Lộc Trung</t>
  </si>
  <si>
    <t>Làm mới mở rộng đường Tư Lường</t>
  </si>
  <si>
    <t>TBĐ 6, 10 - Lộc Hậu</t>
  </si>
  <si>
    <t>Làm mới, mở rộng đường Út Mười Hai</t>
  </si>
  <si>
    <t>TBĐ 10 - Lộc Hậu</t>
  </si>
  <si>
    <t>Làm mới, mở rộng đường chùa Thiên Mụ nối dài</t>
  </si>
  <si>
    <t>TBĐ 6, 10 - Lộc Tiền, Lộc Trung, Lộc Hậu</t>
  </si>
  <si>
    <t>Làm mới, mở rộng đường kênh Tư Đắc</t>
  </si>
  <si>
    <t>TBĐ 8, 9 - Lộc Tiền, Lộc Trung</t>
  </si>
  <si>
    <t>Làm mới, mở rộng đường kênh Mười Cam</t>
  </si>
  <si>
    <t>TBĐ  9 - Lộc Trung</t>
  </si>
  <si>
    <t xml:space="preserve"> Thửa 552, 554, 553, 3358, 3357, 3356, 3355, 3354, 551, 555, 2952, 3024, 3006, 647, 648, 645, 2057, 2206, 717, 1746, 718, 3666, 2287, 2286, 2285; TBĐ 1</t>
  </si>
  <si>
    <t>Các tuyến đường liên xóm</t>
  </si>
  <si>
    <t>TBĐ 03, 04, 07, 08</t>
  </si>
  <si>
    <t>Đường Lê Văn Vui</t>
  </si>
  <si>
    <t>Đường Nguyễn Hữu Hớn</t>
  </si>
  <si>
    <t>Đường Kênh Hai Đẩu</t>
  </si>
  <si>
    <t>Đường Kênh Phan Việt Hùng</t>
  </si>
  <si>
    <t>Đường Dân Sinh kênh Thông Phèn</t>
  </si>
  <si>
    <t>Đường Dân Sinh Kênh Đại Hội</t>
  </si>
  <si>
    <t>Đường Dân Sinh Kênh 25/4</t>
  </si>
  <si>
    <t>Di tích làng Thanh Ba</t>
  </si>
  <si>
    <t>Trung tâm Văn hóa, Thông tin và Truyền thanh huyện</t>
  </si>
  <si>
    <t>Trung tâm Văn hóa - thể thao xã Phước Lại (ấp Lũy)</t>
  </si>
  <si>
    <t>Thửa 265, 267, TBĐ 6</t>
  </si>
  <si>
    <t>Cấp GCN Trung tâm văn hóa - thể thao xã Phước Vĩnh Đông</t>
  </si>
  <si>
    <t>1368 (mpt) TBĐ 04</t>
  </si>
  <si>
    <t>Cấp GCN Trung tâm văn hóa - thể thao xã Long An</t>
  </si>
  <si>
    <t>1626 TBĐ 1</t>
  </si>
  <si>
    <t>Mở rộng Trung tâm văn hóa - thể thao và học tập cộng đồng xã Phước Lý</t>
  </si>
  <si>
    <t>Thửa 476 TBĐ 18</t>
  </si>
  <si>
    <t>Cấp GCN Trung tâm văn hóa - thể thao xã Mỹ Lộc</t>
  </si>
  <si>
    <t>Thửa 733, 748, 774 TBĐ 10</t>
  </si>
  <si>
    <t>Trung tâm văn hóa thể dục thể thao xã Thuận Thành</t>
  </si>
  <si>
    <t>Mpt 1751, 1856, 1860, 1558, TBĐ 4</t>
  </si>
  <si>
    <t>Bia Di tích Bà Kiểu</t>
  </si>
  <si>
    <t xml:space="preserve"> Thửa 909, tờ 5</t>
  </si>
  <si>
    <t>Cấp GCN Trung tâm văn hóa - thể thao xã Tân Tập</t>
  </si>
  <si>
    <t>Thửa 1213 TBĐ 4</t>
  </si>
  <si>
    <t>Cấp GCN Bia tưởng niệm</t>
  </si>
  <si>
    <t>Mở rộng Bệnh viện Đa khoa Khu vực Cần Giuộc</t>
  </si>
  <si>
    <t>TBĐ 7, 8</t>
  </si>
  <si>
    <t>Mở rộng Trạm y tế xã Phước Hậu</t>
  </si>
  <si>
    <t>Thửa 928 (mpt), 1726(mpt) TBĐ 2</t>
  </si>
  <si>
    <t xml:space="preserve">Mở rộng trạm y tế xã Phước Lại </t>
  </si>
  <si>
    <t>Thửa số 1199, 1201, 1200 TBĐ 02</t>
  </si>
  <si>
    <t>Mở rộng Trạm y tế xã Thuận Thành</t>
  </si>
  <si>
    <t>Thửa 3325(mpt), 2080 (mpt); TBĐ 04</t>
  </si>
  <si>
    <t>Trạm y tế xã Tân Tập</t>
  </si>
  <si>
    <t>Mở rộng Trạm y tế Đông Thạnh</t>
  </si>
  <si>
    <t>Thửa số 820, 824, 5338, 3993 TBĐ 4</t>
  </si>
  <si>
    <t>Trạm y tế xã Phước Vĩnh Tây</t>
  </si>
  <si>
    <t>Thửa 735 TBĐ 4</t>
  </si>
  <si>
    <t>Cấp GCN trường Mẫu giáo Tân Kim (điểm Tân Phước)</t>
  </si>
  <si>
    <t>Quy hoạch trường Mẫu giáo Phước Lâm (ấp Phước Hưng 1)</t>
  </si>
  <si>
    <t>Mpt 2978, 2979 TBĐ 3</t>
  </si>
  <si>
    <t>Sửa tên: Quy hoạch trường Mẫu giáo Phước Lâm (ấp Phước Hưng 1). 
Đã phê duyệt p án đền bù</t>
  </si>
  <si>
    <t>Quy hoạch trường Mẫu giáo Phước Lâm (ấp Phước Thuận - mở rộng cho điểm cũ)</t>
  </si>
  <si>
    <t>Mở rộng, cấp giấy trường Mẫu giáo Thuận Thành (ấp Thuận Bắc)</t>
  </si>
  <si>
    <t>Thửa 215 (mpt) TBĐ 03</t>
  </si>
  <si>
    <t>Cấp GCN Trường Mẫu giáo Tân Tập (ấp Tân Đại)</t>
  </si>
  <si>
    <t xml:space="preserve">Tân Tập </t>
  </si>
  <si>
    <t>Cấp GCN Trường Tiểu học Tân Tập (ấp Tân Đông - khu TĐC)</t>
  </si>
  <si>
    <t>Cấp GCN Trường Mẫu giáo Trường Bình (Khu phố 3)</t>
  </si>
  <si>
    <t>Thửa 88 TBĐ 24</t>
  </si>
  <si>
    <t>Mở rộng Trường Cao đẳng Long An cơ sở Cần Giuộc</t>
  </si>
  <si>
    <t>Thửa 530, 531, 619, 532, 618, 533, 534 (mpt), 616(mpt), 617(mpt), 615 TBĐ 5; 534(mpt), 535, 614 TBĐ 6</t>
  </si>
  <si>
    <t>Mở rộng Trường Tiểu học Tân Kim</t>
  </si>
  <si>
    <t>Thửa 763, 277, 2184, 2185, 305, 306, 307 TBĐ 30</t>
  </si>
  <si>
    <t>Cấp GCN Trường THCS Nguyễn Thị Bảy</t>
  </si>
  <si>
    <t>Thửa 168 TBĐ 24</t>
  </si>
  <si>
    <t>Cấp GCN Trường Tiểu học Nguyễn Thái Bình</t>
  </si>
  <si>
    <t>Thửa 17 TBĐ 11</t>
  </si>
  <si>
    <t>Cấp GCN Trường THPT Nguyễn Đình Chiểu</t>
  </si>
  <si>
    <t>TBĐ 15</t>
  </si>
  <si>
    <t>Cấp GCN Trường THCS Nguyễn Đình Chiểu (ấp Lộc Tiền)</t>
  </si>
  <si>
    <t>Thửa 718, 719, 720, 697, 696, 672, 673 TBĐ 10</t>
  </si>
  <si>
    <t>Cấp GCN Trường THCS Nguyễn Đình Chiểu (ấp Kế Mỹ)</t>
  </si>
  <si>
    <t>Thửa 627, 632, 720, 721 TBĐ 12</t>
  </si>
  <si>
    <t>Cấp GCN  phần mở rộng Trường Tiểu học Lộc Tiền</t>
  </si>
  <si>
    <t>Thửa 12, 25, 35, 36, 58, 59, 22, 2 TBĐ 14</t>
  </si>
  <si>
    <t>Thửa 1284, TBĐ 03</t>
  </si>
  <si>
    <t>Mở rộng Trường Mẫu giáo Rạng Đông (điểm Kế Mỹ)</t>
  </si>
  <si>
    <t>Thửa 37, 1048, 1049, 1052 (mpt), 1053 (mpt) TBĐ 16</t>
  </si>
  <si>
    <t>Mở rộng Trường THCS Hồ Văn Long</t>
  </si>
  <si>
    <t xml:space="preserve">Thửa 5459, 5022, 1631, TBĐ 3-2. </t>
  </si>
  <si>
    <t>Đã phê duyệt p án đền bù</t>
  </si>
  <si>
    <t xml:space="preserve">Mở rộng Trường Tiểu học Long Thượng </t>
  </si>
  <si>
    <t>Thửa 51, 52, 935 TBĐ 10.</t>
  </si>
  <si>
    <t>Nghị quyết số 08/NQ-HĐND ngày 29/3/2022 của HĐND tỉnh thông qua danh mục CMĐ đất lúa 0,55 ha lúa</t>
  </si>
  <si>
    <t>Cấp GCN Trường Mẫu giáo Phước Hậu (ấp Long Giêng)</t>
  </si>
  <si>
    <t>Thửa 4594, TBĐ 2</t>
  </si>
  <si>
    <t>Mở rộng Trường Mẫu giáo Phước Hậu</t>
  </si>
  <si>
    <t>Thửa 1079, 3741 TBĐ 02</t>
  </si>
  <si>
    <t>Cấp GCN Trường MG Phước Lại (Điểm Tân Thanh A)</t>
  </si>
  <si>
    <t xml:space="preserve">Thửa 46, TBĐ 3- </t>
  </si>
  <si>
    <t>Cấp GCN Trường Tiểu học Phước Lại (phần mở rộng)</t>
  </si>
  <si>
    <t>Thửa 1053, 1055, 1054(mpt) TBĐ 2</t>
  </si>
  <si>
    <t>Nghị quyết số 71/NQ-HĐND ngày 25/9/2020 của HĐND tỉnh Long An</t>
  </si>
  <si>
    <t>Cấp GCN Trường Tiểu học Trần Chí Nam</t>
  </si>
  <si>
    <t>Thửa 552, 4804, 4599 TBĐ 5</t>
  </si>
  <si>
    <t>Cấp GCN Trường THCS - THPT Nguyễn Thị Một (phần mở rộng)</t>
  </si>
  <si>
    <t>751(mpt), 3303, 3302, 2540, 3301, 1966, 748, 3389, 3390 TBĐ 2</t>
  </si>
  <si>
    <t>Cấp GCN Trường Mẫu giáo Phước Lại</t>
  </si>
  <si>
    <t>Thửa 269, 270, 216 (mpt), 217 (mpt), 204 (mpt) TBĐ 6</t>
  </si>
  <si>
    <t>Mở rộng Trường Mẫu giáo Phước Vĩnh Tây (ấp 3)</t>
  </si>
  <si>
    <t>Thửa 22 (mpt) TBĐ 4</t>
  </si>
  <si>
    <t>Cấp GCN Trường TH-THCS Phước Vĩnh Tây</t>
  </si>
  <si>
    <t>Thửa 258, 310 TBĐ 4</t>
  </si>
  <si>
    <t>Mở rộng Trường Mẫu giáo Đông Thạnh (ấp Nam)</t>
  </si>
  <si>
    <t>Thửa 2034 (mpt) TBĐ 4</t>
  </si>
  <si>
    <t>Cấp GCN Nhà công vụ giáo viên Vùng Hạ</t>
  </si>
  <si>
    <t>Thửa 624 TBĐ 4</t>
  </si>
  <si>
    <t>Đang làm thủ tục</t>
  </si>
  <si>
    <t>Cấp GCN Trường Mẫu giáo Hướng Dương</t>
  </si>
  <si>
    <t>175, 180, 184 (mpt), 1532, 1533 TBĐ 3.</t>
  </si>
  <si>
    <t>Cấp GCN Trường Mẫu giáo Tân Tập (ấp Tân Thành)</t>
  </si>
  <si>
    <t>664, TBĐ 7</t>
  </si>
  <si>
    <t>Cấp GCN Trường Mẫu giáo Tân Tập (ấp Tân Đông-Khu TĐC)</t>
  </si>
  <si>
    <t>Thửa 8672, TBĐ 4</t>
  </si>
  <si>
    <t>Mở rộng Trường Mẫu giáo Phước Lý</t>
  </si>
  <si>
    <t>Không còn nhu cầu mở rộng</t>
  </si>
  <si>
    <t>Cấp GCN Nhà công vụ giáo viên vùng thượng</t>
  </si>
  <si>
    <t>Cấp GCN trường Mẫu giáo Phước Lâm (ấp Phước Kế)</t>
  </si>
  <si>
    <t>Cấp GCN Trường Mẫu giáo Long Thượng (điểm ấp Long Thạnh)</t>
  </si>
  <si>
    <t>Thửa 93 TBĐ 15</t>
  </si>
  <si>
    <t>Cấp GCN Trường Tiểu học Long Hậu (ấp 4)</t>
  </si>
  <si>
    <t>Đấu giá, cho thuê quyền sử dụng đất (thửa đất số 3272, 3274 TBĐ số 58)</t>
  </si>
  <si>
    <t>thửa đất số 3272, 3274 TBĐ số 58</t>
  </si>
  <si>
    <t>Sân bóng đá kết hợp quần thể thể dục thể thao xã Long Thượng</t>
  </si>
  <si>
    <t>Thửa 230, 231, 232, 244, 245, 246; mpt : 234, 233, 249, 226, 288 TBĐ 6</t>
  </si>
  <si>
    <t>Sân thể dục thể thao xã Thuận Thành</t>
  </si>
  <si>
    <t>Thửa 38 TBĐ 1; thửa 209, 319 TBĐ 4</t>
  </si>
  <si>
    <t>Treo dây mạch 2 đường dây từ trạm 110kV Nam Tân Tập - trạm 110kV Long Hậu 2</t>
  </si>
  <si>
    <t>Đông Thạnh, Tân Tập, Phước Vĩnh Đông, Phước Lại, Long Hậu</t>
  </si>
  <si>
    <t>Trạm 220kV Cần Giuộc</t>
  </si>
  <si>
    <t>Trạm biến áp 110kV Long Hậu 2</t>
  </si>
  <si>
    <t>Cấp GCN trạm biến áp</t>
  </si>
  <si>
    <t>Thửa 148, TBĐ 69</t>
  </si>
  <si>
    <t>Đường dây từ trạm 110kV Nam Tân Tập - trạm 110kV Long Hậu 2</t>
  </si>
  <si>
    <t>Trạm biến áp 500kV và đường dây đấu nối</t>
  </si>
  <si>
    <t>Phân pha dây dẫn đường dây Nhà Bè - Long Hậu điểm đấu nối vào trạm 220kV/110kV Cần Đước</t>
  </si>
  <si>
    <t>Nghị quyết 03/NQ-HĐND ngày 28/2/2023 của HĐND tỉnh thông qua danh mục thu hồi đất năm 2023</t>
  </si>
  <si>
    <t>Theo NQ 02/NQ-HĐND ngày 28/2/2023 và NQ 03/NQ-HĐND ngày 28/3/23, NQ CMĐ và NQ thu hồi đất Có thu hồi đất lúa 0,04 ha</t>
  </si>
  <si>
    <t>TBĐ 3, 6</t>
  </si>
  <si>
    <t>Đang bồi thường</t>
  </si>
  <si>
    <t>Xây dựng mới và nâng cấp đường dây trung áp từ 1 pha lên 3 pha để cấp điện xã Phước Lại và xã Phước Vĩnh Đông</t>
  </si>
  <si>
    <t xml:space="preserve"> Phước Lại</t>
  </si>
  <si>
    <t>Côn trình này lấy và đất Lúa theo NQ 08/NQ-HĐND ngày 29/3/2022 CMĐ đất trồng lúa</t>
  </si>
  <si>
    <t>Đất có di tích - lịch sử</t>
  </si>
  <si>
    <t>Cấp GCN Khu di tích lịch sử Cầu Tre</t>
  </si>
  <si>
    <t>695, 698, 700 TBĐ 5</t>
  </si>
  <si>
    <t>Cấp GCN Nhà che Bia</t>
  </si>
  <si>
    <t>1245 TBĐ 04</t>
  </si>
  <si>
    <t>Khu di tích lịch sử cách mạng Cầu Kinh</t>
  </si>
  <si>
    <t>Cấp GCN họ đạo cao đài Ban chỉnh đạo Mỹ Lộc</t>
  </si>
  <si>
    <t>Thửa 312, 325, 326, 327, 341, 342, 353, 354, 368, 369; tờ 6</t>
  </si>
  <si>
    <t>Mở rộng Chùa Giác Nguyên</t>
  </si>
  <si>
    <t>Thửa 104 TBĐ 24</t>
  </si>
  <si>
    <t xml:space="preserve">Mở rộng Chùa Pháp Tánh </t>
  </si>
  <si>
    <t>Thửa 1407 mpt TBĐ 59</t>
  </si>
  <si>
    <t>Cấp GCN Tịnh thất Hoa Nghiêm</t>
  </si>
  <si>
    <t>TBĐ 20</t>
  </si>
  <si>
    <t>Mở rộng Thiền viện Bửu Minh</t>
  </si>
  <si>
    <t>TBĐ 14</t>
  </si>
  <si>
    <t>Cấp GCN Tịnh Thất An Lạc</t>
  </si>
  <si>
    <t>Thửa 484, 807 TBĐ 6</t>
  </si>
  <si>
    <t>Cấp GCN Thánh Thất Cao đài Long Phụng</t>
  </si>
  <si>
    <t>Thửa 1303 TBĐ 02</t>
  </si>
  <si>
    <t>Cấp GCN Chi hội tin lành Long Phụng</t>
  </si>
  <si>
    <t>Thửa 974, 975 TBĐ 04</t>
  </si>
  <si>
    <t>Cấp GCN Chùa Hòa Long</t>
  </si>
  <si>
    <t>Thửa 812, 1695, 878 TBĐ 02</t>
  </si>
  <si>
    <t>Cấp GCN Hội thánh tin lành xã Phước Vĩnh Tây</t>
  </si>
  <si>
    <t>Thửa 137, 222, 2958 TBĐ 1</t>
  </si>
  <si>
    <t>Cấp GCN Chùa Giác Nguyên</t>
  </si>
  <si>
    <t>Thửa 651, 652, 653, 9999 TBĐ 4</t>
  </si>
  <si>
    <t>Cấp GCN Chùa Phước Bửu</t>
  </si>
  <si>
    <t>Thửa 2011, 2013 TBĐ 3</t>
  </si>
  <si>
    <t>Cấp GCN Chùa Pháp Vân</t>
  </si>
  <si>
    <t>Thửa 2512, 2513, Mpt 4625 TBĐ 3</t>
  </si>
  <si>
    <t>Mở rộng Chùa Pháp Hưng</t>
  </si>
  <si>
    <t>Thửa 46, 76, 117, 52, 83, Mpt 81 TBĐ 15</t>
  </si>
  <si>
    <t>Mở rộng Chùa Thới Bình</t>
  </si>
  <si>
    <t>Thửa 20, 21, 22, 23, 351 TBĐ 1</t>
  </si>
  <si>
    <t>Nghĩa trang nhân dân xã khu vực ấp 2</t>
  </si>
  <si>
    <t>Thửa 4287, 5020, 5016, 5015, 487, 332 TBĐ 3</t>
  </si>
  <si>
    <t>Nghĩa trang ấp Phước Kế</t>
  </si>
  <si>
    <t>Thửa 641, 2221, 2222 TBĐ 02</t>
  </si>
  <si>
    <t>Nghĩa trang Nhân dân xã Mỹ Lộc</t>
  </si>
  <si>
    <t>Thừa 333, 334, 359, 388, 845 TBĐ 10</t>
  </si>
  <si>
    <t>Mở rộng nghĩa trang nhân dân ấp Lộc Hậu</t>
  </si>
  <si>
    <t>Thửa 449, 450, 464, 478, 477, 498, 499, 511, 512, 530, 560, tờ 10</t>
  </si>
  <si>
    <t>Mở rộng nghĩa trang nhân dân xã Thuận Thành</t>
  </si>
  <si>
    <t>Thửa 272, TBĐ 03</t>
  </si>
  <si>
    <t>Nghĩa trang xã Phước Lý</t>
  </si>
  <si>
    <t>Nghĩa trang nhân dân xã Tân Tập</t>
  </si>
  <si>
    <t>Thửa 2192, 2009, 2011, 2190, 2008, 2189, 6143, 2015, 5143 TBĐ 4</t>
  </si>
  <si>
    <t>Nghĩa trang nhân dân xã Phước Hậu</t>
  </si>
  <si>
    <t>Thửa 1049, 1050,TBĐ 02</t>
  </si>
  <si>
    <t>Mở rộng, cấp GCN nghĩa trang liệt sĩ huyện Cần Giuộc</t>
  </si>
  <si>
    <t>Thửa 763, Mpt 731, 732 TBĐ 61</t>
  </si>
  <si>
    <t>Khu nghĩa trang Tân Tập</t>
  </si>
  <si>
    <t>TBĐ 04, 07</t>
  </si>
  <si>
    <t>đã thực hiện 27,02</t>
  </si>
  <si>
    <t>Nghĩa trang xã Phước Lâm</t>
  </si>
  <si>
    <t>Cấp GCN Chi nhánh Trung tâm nuôi dưỡng người cao tuổi huyện</t>
  </si>
  <si>
    <t>Mpt 77, 79 TĐ 18</t>
  </si>
  <si>
    <t>Trụ sở KP Hòa Thuận 1</t>
  </si>
  <si>
    <t>Thửa 729 TBĐ 61</t>
  </si>
  <si>
    <t>Cấp GCN Trụ sở KP Hòa Thuận 2</t>
  </si>
  <si>
    <t>Thửa 698 TBĐ 67</t>
  </si>
  <si>
    <t>Cấp GCN Trụ sở KP Phước Thuận</t>
  </si>
  <si>
    <t>Thửa 212 TBĐ 65</t>
  </si>
  <si>
    <t>Trụ sở KP Thanh Ba</t>
  </si>
  <si>
    <t>TT Cần Giuộc (Mỹ Lộc cũ)</t>
  </si>
  <si>
    <t>Thửa 273 TBĐ 86</t>
  </si>
  <si>
    <t>Cấp GCN Trụ sở KP 1</t>
  </si>
  <si>
    <t>Cấp GCN Trụ sở KP 2</t>
  </si>
  <si>
    <t>Cấp GCN Trụ sở KP 3</t>
  </si>
  <si>
    <t>Cấp GCN Trụ sở KP 4</t>
  </si>
  <si>
    <t>Cấp GCN Trụ sở khu phố Kim Định</t>
  </si>
  <si>
    <t>Cấp GCN Trụ sở khu phố Tân Xuân</t>
  </si>
  <si>
    <t>Thửa 110 TBĐ 02</t>
  </si>
  <si>
    <t>Cấp GCN Trụ sở khu phố Trị Yên</t>
  </si>
  <si>
    <t>Nhà văn hóa ấp Thuận Tây 2</t>
  </si>
  <si>
    <t>Thửa 158(mpt), 159(mpt), 265(mpt) TBĐ 04</t>
  </si>
  <si>
    <t>Nhà văn hóa ấp Thuận Bắc</t>
  </si>
  <si>
    <t>Thửa 9 TBĐ 07</t>
  </si>
  <si>
    <t>Trụ sở ấp Tân Chánh</t>
  </si>
  <si>
    <t>Trụ sở ấp Phước Thới</t>
  </si>
  <si>
    <t>Trụ sở ấp Tân Thanh B</t>
  </si>
  <si>
    <t>Trụ sở ấp Tân Thanh A</t>
  </si>
  <si>
    <t>Trụ sở ấp Lũy</t>
  </si>
  <si>
    <t>Trụ sở ấp Mương Chài</t>
  </si>
  <si>
    <t>Quy hoạch trụ sở ấp Tân Điền</t>
  </si>
  <si>
    <t>Thửa 234 TBĐ 5</t>
  </si>
  <si>
    <t>Cấp GCN Trụ sở khu phố Tân Phước</t>
  </si>
  <si>
    <t>Thửa 673 TBĐ 59</t>
  </si>
  <si>
    <t>Cấp GCN Trụ sở khu phố Long Phú</t>
  </si>
  <si>
    <t>Mpt 308 TBĐ 36</t>
  </si>
  <si>
    <t>Cấp GCN Trụ sở khu phố Kim Điền</t>
  </si>
  <si>
    <t>Thửa 34 TBĐ 46</t>
  </si>
  <si>
    <t>Cấp GCN Trụ sở ấp Đông Bình</t>
  </si>
  <si>
    <t>Thửa 1165 TBĐ 3</t>
  </si>
  <si>
    <t>Cấp GCN Trụ sở ấp Vĩnh Thạnh</t>
  </si>
  <si>
    <t>TBĐ 4 ( cạnh thửa 185)</t>
  </si>
  <si>
    <t>Cấp GCN Trụ sở ấp Thuận Đông</t>
  </si>
  <si>
    <t>Thửa 1490 TBĐ 03</t>
  </si>
  <si>
    <t>Cấp GCN Trụ sở ấp Thuận Tây 1</t>
  </si>
  <si>
    <t>Thửa 35 TBĐ 1</t>
  </si>
  <si>
    <t>Cấp GCN Trụ sở ấp Thuận Nam</t>
  </si>
  <si>
    <t>Thửa 2164 (mpt) TBĐ 04</t>
  </si>
  <si>
    <t>Cấp GCN Trụ sở ấp 3</t>
  </si>
  <si>
    <t>Thửa 178, TBĐ 2</t>
  </si>
  <si>
    <t>thửa 178 tbđ 2</t>
  </si>
  <si>
    <t xml:space="preserve">Nhà văn hóa ấp Phước Hưng 2 </t>
  </si>
  <si>
    <t>Thửa 524 TBĐ 03</t>
  </si>
  <si>
    <t>Nhà văn hóa ấp Trong</t>
  </si>
  <si>
    <t>Thửa số 4596, 4597 TBĐ 03</t>
  </si>
  <si>
    <t>Nhà văn hóa ấp Ngoài</t>
  </si>
  <si>
    <t>Thửa 2720 TBĐ 03</t>
  </si>
  <si>
    <t>Nhà văn hóa ấp Long Giêng</t>
  </si>
  <si>
    <t>Thửa 4598 TBĐ 03</t>
  </si>
  <si>
    <t>Cấp GCN Nhà văn hóa ấp Long Khánh</t>
  </si>
  <si>
    <t>Thửa 57 TBĐ 3</t>
  </si>
  <si>
    <t>Cấp GCN Trụ sở ấp (Long Bào) (điểm Mẫu giáo cũ)</t>
  </si>
  <si>
    <t>Mpt 3082, 2799 TBĐ 51</t>
  </si>
  <si>
    <t>Cấp GCN Trụ sở ấp 2/5 xã Long Hậu</t>
  </si>
  <si>
    <t>Thửa 38 TBĐ 14</t>
  </si>
  <si>
    <t>Cấp GCN Trụ sở ấp 4</t>
  </si>
  <si>
    <t>Thửa 59 TBĐ 3</t>
  </si>
  <si>
    <t>Cấp GCN trụ sở ấp Vĩnh Phước</t>
  </si>
  <si>
    <t>Thửa 7 TBĐ 15</t>
  </si>
  <si>
    <t>Cấp GCN trụ sở ấp Phú Thành</t>
  </si>
  <si>
    <t>Thửa 164 TBĐ 22</t>
  </si>
  <si>
    <t>Mở rộng Trụ sở Nhà văn hóa 4 ấp</t>
  </si>
  <si>
    <t xml:space="preserve">Cấp GCN Công viên Văn hoá xã </t>
  </si>
  <si>
    <t>Thửa 1245(mpt), TBĐ 04</t>
  </si>
  <si>
    <t>Khu dân cư Mỹ Lộc</t>
  </si>
  <si>
    <t>Dự án đầu tư đường Lê Thị Phu kết hợp khai thác quỹ đất</t>
  </si>
  <si>
    <t>Khu TĐC Tân Tập (của KCN Tân Tập)</t>
  </si>
  <si>
    <t>Đang đo khảo sát</t>
  </si>
  <si>
    <t>Nghị quyết số 16/NQ-HĐND ngày 30/5/2023 của HĐND thông qua danh mục thu hồi đất năm 2023</t>
  </si>
  <si>
    <t>NQ số 16/NQ-HĐND ngày 30/5/23 dự án thu hôi đất</t>
  </si>
  <si>
    <t>Khu tái định cư Nam Tân Tập</t>
  </si>
  <si>
    <t>Thửa 12 TBĐ 14</t>
  </si>
  <si>
    <t>Khu đô thị mới Phước Vĩnh Tây</t>
  </si>
  <si>
    <t>ONT, DHT</t>
  </si>
  <si>
    <t>Nghị quyết số 30/NQ-HĐND ngày 12/7/2023 của HĐND thông qua danh mục thu hồi đất năm 2023</t>
  </si>
  <si>
    <t>Khu dân cư Long Thượng</t>
  </si>
  <si>
    <t>Khu đô thị kết hợp TĐC và nhà ở công nhân (tiếp giáp đường Tân Tập - Long Hậu sau khi trừ đi phần diện tích chỉnh trang và Khu TĐC phục vụ KCN Tân Tập)</t>
  </si>
  <si>
    <t>Phước Vĩnh Đông, Đông Thạnh, Tân Tập</t>
  </si>
  <si>
    <t>Khu dân cư Mỹ Lộc - Phước Lâm</t>
  </si>
  <si>
    <t>Khu Đô thị Năm Sao (giai đoạn 2)</t>
  </si>
  <si>
    <t>TBĐ 32</t>
  </si>
  <si>
    <t>Khu TĐC Năm Sao (giai đoạn 2)</t>
  </si>
  <si>
    <t>TBĐ 25</t>
  </si>
  <si>
    <t>Khu dân cư An Phú Sinh</t>
  </si>
  <si>
    <t>TBĐ 17</t>
  </si>
  <si>
    <t>Sở KHĐT chấm dứt chủ trương</t>
  </si>
  <si>
    <t>Khu dân cư</t>
  </si>
  <si>
    <t>TBĐ 18, 19</t>
  </si>
  <si>
    <t>TBĐ 21</t>
  </si>
  <si>
    <t>TBĐ 10 Long Thượng, TBĐ 2 Phước Hậu</t>
  </si>
  <si>
    <t xml:space="preserve"> Phước Hậu</t>
  </si>
  <si>
    <t>Xã đề xuất hủy bỏ do đã thu hồi chủ trương</t>
  </si>
  <si>
    <t>Khu dân cư - tái định cư</t>
  </si>
  <si>
    <t>Khu dân cư, tái định cư và nhà ở công nhân</t>
  </si>
  <si>
    <t>TBĐ 22</t>
  </si>
  <si>
    <t>Khu dân cư Nhã Đạt</t>
  </si>
  <si>
    <t>TBĐ 10, 11</t>
  </si>
  <si>
    <t>đang thỏa thuận, đc hơn 50%</t>
  </si>
  <si>
    <t>Nhà ở cho công nhân</t>
  </si>
  <si>
    <t>Thửa 56, 57, 58, 823, 824, 825 TBĐ 10</t>
  </si>
  <si>
    <t>Khu dân cư Lê Gia Phát</t>
  </si>
  <si>
    <t>TBĐ 11</t>
  </si>
  <si>
    <t>Đang thực hiện, đã được 3.84 ha</t>
  </si>
  <si>
    <t>Khu dân cư Hai Thành Long An</t>
  </si>
  <si>
    <t>TBĐ 4, 6</t>
  </si>
  <si>
    <t>đã thực hiện 39.17</t>
  </si>
  <si>
    <t xml:space="preserve">Khu dân cư - tái định cư Thái Sơn </t>
  </si>
  <si>
    <t>Còn 0.58 chưa thực hiện</t>
  </si>
  <si>
    <t xml:space="preserve">Khu thương mại, biệt thự và chung cư cao cấp Thái Sơn </t>
  </si>
  <si>
    <t>Còn ~11 ha chưa thực hiện</t>
  </si>
  <si>
    <t>Khu dân cư thương mại Tân Thái Thịnh</t>
  </si>
  <si>
    <t>Còn 0.39 chưa thực hiện</t>
  </si>
  <si>
    <t>Khu dân cư Long Hậu</t>
  </si>
  <si>
    <t>Khu dân cư xã Long Hậu</t>
  </si>
  <si>
    <t>Khu dân cư - tái định cư Thành Hiếu</t>
  </si>
  <si>
    <t>Khu dân cư-tái định cư Long Hậu mở rộng (TĐC cho KCN LH3 giai đoạn 2)</t>
  </si>
  <si>
    <t>TBĐ 7</t>
  </si>
  <si>
    <t>Nghị quyết số 02/NQ-HĐND ngày 28/02/2023 của HĐND tỉnh Long An</t>
  </si>
  <si>
    <t xml:space="preserve">Khu dân cư tái định cư Long Hậu </t>
  </si>
  <si>
    <t>Khu dân cư An Long - Nam Sài Gòn</t>
  </si>
  <si>
    <t>TBĐ 6, 7</t>
  </si>
  <si>
    <t>Đã thực hiện  48.46</t>
  </si>
  <si>
    <t>Đã thực hiện  76.79</t>
  </si>
  <si>
    <t>Khu tái định cư</t>
  </si>
  <si>
    <t>Đã thực hiện  8.32</t>
  </si>
  <si>
    <t>Đã thực hiện  8.31</t>
  </si>
  <si>
    <t>Khu đô thị mới Long Hậu</t>
  </si>
  <si>
    <t>TBĐ 5</t>
  </si>
  <si>
    <t>Đã thực hiện  42.65</t>
  </si>
  <si>
    <t>Khu dân cư, tái định cư</t>
  </si>
  <si>
    <t>Khu dân cư xã Long Phụng</t>
  </si>
  <si>
    <t>Thửa 2, 4, 38, 39, 40, 81, Mpt 79, 1218, 1219 TBĐ 4</t>
  </si>
  <si>
    <t>Khu đô thị Đông Nam Á Long An (Bao gồm QH chỉnh trang khu hành chính, KDC hiện hữu)</t>
  </si>
  <si>
    <t>TBĐ 7, 35, 52</t>
  </si>
  <si>
    <t xml:space="preserve">Phước Vĩnh Đông </t>
  </si>
  <si>
    <t>đã thực hiện 59.8 ha</t>
  </si>
  <si>
    <t xml:space="preserve">Khu đô thị Phước Lại (Bao gồm QH chỉnh trang khu hành chính, KDC hiện hữu) </t>
  </si>
  <si>
    <t>TBĐ 1, 2, 35, 6, 11, 21, 31, 35, 41, 51</t>
  </si>
  <si>
    <t>Khu dân cư An Phước Sài Gòn</t>
  </si>
  <si>
    <t>TBĐ 2, 6</t>
  </si>
  <si>
    <t>ĐTH 19.31</t>
  </si>
  <si>
    <t>Khu dân cư, thương mại dịch vụ Tân Tập - Long Hậu - I</t>
  </si>
  <si>
    <t>TBĐ 35, 51, 52</t>
  </si>
  <si>
    <t>Dự án GPMB tạo quỹ đất sạch dọc đường tỉnh 826D (đoạn từ Vành đai 4 đến sông Rạch Dừa)</t>
  </si>
  <si>
    <t>Đã có TB thu hồi đất</t>
  </si>
  <si>
    <t>Đầu tư hạ tầng kỹ thuật Khu TĐC phục vụ dự án CCN Phước Vĩnh Đông 1</t>
  </si>
  <si>
    <t xml:space="preserve">đang kê biên </t>
  </si>
  <si>
    <t>Quyết định số 5133/QĐ-UBND ngày 31/12/2020 của UBND tỉnh</t>
  </si>
  <si>
    <t>Theo NQ số 02/NQ-HĐND ngày 26/2/2021 của HĐND tỉnh LUA 8,59 ha</t>
  </si>
  <si>
    <t>Đầu tư hạ tầng kỹ thuật Khu TĐC phục vụ dự án CCN Phước Vĩnh Đông 2</t>
  </si>
  <si>
    <t>Quyết định số 5134/QĐ-UBND ngày 31/12/2020 của UBND tỉnh</t>
  </si>
  <si>
    <t>Theo NQ số 02/NQ-HĐND ngày 26/2/2021 của HĐND tỉnh LUA 8,37 ha</t>
  </si>
  <si>
    <t>Đầu tư hạ tầng kỹ thuật Khu TĐC phục vụ dự án CCN Phước Vĩnh Đông 3</t>
  </si>
  <si>
    <t>Quyết định số 5136/QĐ-UBND ngày 31/12/2020 của UBND tỉnh</t>
  </si>
  <si>
    <t>Theo NQ số 02/NQ-HĐND ngày 26/2/2021 của HĐND tỉnh LUA 8,15 ha</t>
  </si>
  <si>
    <t>Đầu tư hạ tầng kỹ thuật Khu TĐC phục vụ dự án CCN Phước Vĩnh Đông 4</t>
  </si>
  <si>
    <t>Quyết định số 5135/QĐ-UBND ngày 31/12/2020 của UBND tỉnh</t>
  </si>
  <si>
    <t>Theo NQ số 02/NQ-HĐND ngày 26/2/2021 của HĐND tỉnh LUA 6,64 ha</t>
  </si>
  <si>
    <t>Khu dân cư thương mại, dịch vụ Tân Cảng</t>
  </si>
  <si>
    <t>đã GPMB xong</t>
  </si>
  <si>
    <t>Khu đô thị Nam Cần Giuộc</t>
  </si>
  <si>
    <t>Xã đề xuất hủy bỏ do quá 3 năm chưa thực hiện, NĐT chưa có động thái triển khải</t>
  </si>
  <si>
    <t>Quỹ đất khai thác dọc ĐT.827E</t>
  </si>
  <si>
    <t>Khu tái định cư 1 (TĐC ĐT.827 E)</t>
  </si>
  <si>
    <t>ONT, ODT</t>
  </si>
  <si>
    <t>Khu tái định cư 2 (TĐC ĐT.827 E)</t>
  </si>
  <si>
    <t>Khu tái định cư 3 (TĐC ĐT.827 E)</t>
  </si>
  <si>
    <t>Khu tái định cư 4 (TĐC ĐT.827 E)</t>
  </si>
  <si>
    <t>Khu dân cư - tái định cư Tân Tập</t>
  </si>
  <si>
    <t>đã thu hồi Chủ trương</t>
  </si>
  <si>
    <t>QH chỉnh trang Khu hành chính, dân cư tập trung</t>
  </si>
  <si>
    <t>Khu dân cư và khu vực liền kề KCN Tân Kim mở rộng</t>
  </si>
  <si>
    <t>Tái định cư của Ban chỉ huy quân sự huyện</t>
  </si>
  <si>
    <t>Khu tái định cư Tân Kim</t>
  </si>
  <si>
    <t xml:space="preserve">Khu dân cư Chợ Mới </t>
  </si>
  <si>
    <t>TBĐ 7, 10, 36, 39, 59</t>
  </si>
  <si>
    <t>TBĐ 83</t>
  </si>
  <si>
    <t>Khu đô thị thị trấn Cần Giuộc - Phía Bắc</t>
  </si>
  <si>
    <t xml:space="preserve">TBĐ 31, 32, 35, 88 </t>
  </si>
  <si>
    <t>Đường N18 kết hợp KDC thị trấn Cần Giuộc</t>
  </si>
  <si>
    <t>TBĐ 61, 86, 87</t>
  </si>
  <si>
    <t>TBĐ 83, 84</t>
  </si>
  <si>
    <t>Mở rộng trụ sở Huyện ủy Cần Giuộc</t>
  </si>
  <si>
    <t>TBĐ 86</t>
  </si>
  <si>
    <t>Cấp GCN Trụ sở Huyện ủy</t>
  </si>
  <si>
    <t>Mở rộng trụ sở UBND thị trấn Cần Giuộc</t>
  </si>
  <si>
    <t>Thửa 524, 577, 613, 828, 522, 523 TBĐ 37</t>
  </si>
  <si>
    <t>Trụ sở Viện kiểm sát nhân dân huyện Cần Giuộc</t>
  </si>
  <si>
    <t>TBĐ 87</t>
  </si>
  <si>
    <t>Trụ sở Chi cục thi hành án dân sự huyện Cần Giuộc</t>
  </si>
  <si>
    <t>Thửa 296, 297, 298, 299, 1148, mpt 242 TBĐ 61</t>
  </si>
  <si>
    <t>Mở rộng trụ sở UBND huyện</t>
  </si>
  <si>
    <t>Cấp GCN Trụ sở UBND xã Đông Thạnh</t>
  </si>
  <si>
    <t>Thửa 5125, 3285,  5068, 5069, 1255, 3684, 3289, Mpt 3861, 1261, 3862, 3288, 4345 TBĐ 4</t>
  </si>
  <si>
    <t>Cấp GCN Trụ sở UBND xã Long Thượng</t>
  </si>
  <si>
    <t>Thửa 1023 TBĐ 11</t>
  </si>
  <si>
    <t>Cấp GCN Trụ sở UBND xã Phước Lại</t>
  </si>
  <si>
    <t>Thửa 68, 69, 90, 81, 103, Mpt 406, 78, 61 TBĐ 31</t>
  </si>
  <si>
    <t>Mở rộng Trụ sở UBND xã Mỹ Lộc</t>
  </si>
  <si>
    <t>Thửa 952, 48, 69, 87(mpt) TBĐ 16</t>
  </si>
  <si>
    <t>Cấp GCN Ban Quản lý dự án ĐTXD</t>
  </si>
  <si>
    <t>Mpt 665, 666, 667 TBĐ 61</t>
  </si>
  <si>
    <t>Cấp GCN Chi nhánh VPĐK đất đai tại huyện Cần Giuộc</t>
  </si>
  <si>
    <t>Mpt 665, 666, 764 TBĐ 61</t>
  </si>
  <si>
    <t>Cấp GCN Trụ sở Đội quản lý thị trường số 4, thị trấn Cần Giuộc</t>
  </si>
  <si>
    <t>Thửa 55 TBĐ 5</t>
  </si>
  <si>
    <t>Cấp GCN Trụ sở bảo hiểm xã hội huyện Cần Giuộc</t>
  </si>
  <si>
    <t>Thửa 653, 654 TBĐ 67</t>
  </si>
  <si>
    <t>Cấp GCN Trạm khuyến nông</t>
  </si>
  <si>
    <t>Mpt 693 TBĐ 61</t>
  </si>
  <si>
    <t>Cấp GCN Trung tâm hành chính công huyện Cần Giuộc</t>
  </si>
  <si>
    <t>Thửa 765, 766, Mpt 764 TBĐ 61</t>
  </si>
  <si>
    <t>Cấp GCN Trụ sở Trạm chăn nuôi và thú y huyện Cần Giuộc</t>
  </si>
  <si>
    <t>TBĐ 61</t>
  </si>
  <si>
    <t>Cấp GCN Đình Long Khánh</t>
  </si>
  <si>
    <t>Cấp GCN Đình Thanh Ba</t>
  </si>
  <si>
    <t>Thửa 159 TBĐ 83</t>
  </si>
  <si>
    <t>Cấp GCN các cơ sở tín ngưỡng trên địa bàn huyện</t>
  </si>
  <si>
    <t>Cấp GCN Đình Chánh - Tân Kim</t>
  </si>
  <si>
    <t>Cấp GCN Đình Vĩnh Phước</t>
  </si>
  <si>
    <t>Thửa 1 TBĐ 27</t>
  </si>
  <si>
    <t>Cấp GCN Đình Phú Ân</t>
  </si>
  <si>
    <t>Thửa 294, 295 TBĐ 23</t>
  </si>
  <si>
    <t>Đấu giá quyền sử dụng các thửa đất công trên địa bàn thị trấn Cần Giuộc</t>
  </si>
  <si>
    <t>Đấu giá quyền sử dụng đất công (Thửa đất số 89 TBĐ số 61 (Trung tâm văn hóa huyện)</t>
  </si>
  <si>
    <t xml:space="preserve">Thửa đất số 89 TBĐ số 61 </t>
  </si>
  <si>
    <t>Đấu giá quyền sử dụng đất công (thửa 82 TBĐ 24)</t>
  </si>
  <si>
    <t xml:space="preserve"> thửa 81, 82 TBĐ 24</t>
  </si>
  <si>
    <t>Đấu giá quyền sử dụng đất công (phần đất của BCH Quân sự huyện đã bàn giao lại cho địa phương quản lý)</t>
  </si>
  <si>
    <t>Thửa 40 TBĐ 11</t>
  </si>
  <si>
    <t>Đấu giá quyền sử dụng đất công (thửa 211 TBĐ 04)</t>
  </si>
  <si>
    <t>Thửa 211 TBĐ 04</t>
  </si>
  <si>
    <t>Đấu giá quyền sử dụng đất công (thửa đất số 161 TBĐ số 5 (nhà bảo sanh))</t>
  </si>
  <si>
    <t>Thửa số 161 TBĐ 05</t>
  </si>
  <si>
    <t>Đấu giá quyền sử dụng đất công (thửa đất số 5 TBĐ số 17)</t>
  </si>
  <si>
    <t>thửa đất số 5 TBĐ số 17</t>
  </si>
  <si>
    <t>Đấu giá quyền sử dụng đất công (thửa 118 (mpt) TBĐ 10)</t>
  </si>
  <si>
    <t>thửa 118 (mpt) TBĐ 10</t>
  </si>
  <si>
    <t>Đấu giá quyền sử dụng đất công (thửa 45, 46 TBĐ 05)</t>
  </si>
  <si>
    <t>thửa 45, 46 TBĐ 05</t>
  </si>
  <si>
    <t>Đấu giá quyền sử dụng đất công (thửa 700 TBĐ 67)</t>
  </si>
  <si>
    <t>Thửa 700 TBĐ 67</t>
  </si>
  <si>
    <t>Đấu giá quyền sử dụng đất công (thửa 110(pcl) TBĐ 55)</t>
  </si>
  <si>
    <t>thửa 110(pcl) TBĐ 55</t>
  </si>
  <si>
    <t>Đấu giá quyền sử dụng đất công (thửa 41 TBĐ 44)</t>
  </si>
  <si>
    <t>thửa 41 TBĐ 44</t>
  </si>
  <si>
    <t>Đấu giá quyền sử dụng đất công (các thửa 92, 96, 97, 98, 99, 100, 101, 102, 103, 104 TBĐ 10)</t>
  </si>
  <si>
    <t>thửa 92, 96, 97, 98, 99, 100, 101, 102, 103, 104 TBĐ 10</t>
  </si>
  <si>
    <t>Đấu giá quyền sử dụng đất công (phần rạch)</t>
  </si>
  <si>
    <t>Đấu giá quyền sử dụng đất công (thửa 03 TBĐ 05)</t>
  </si>
  <si>
    <t>thửa 03 TBĐ 05</t>
  </si>
  <si>
    <t>Đấu giá quyền sử dụng đất công (thửa 289 TBĐ 04)</t>
  </si>
  <si>
    <t>thửa 289 TBĐ 04</t>
  </si>
  <si>
    <t>Đấu giá quyền sử dụng đất công (thửa 235 TBĐ 04)</t>
  </si>
  <si>
    <t>thửa 235 TBĐ 04</t>
  </si>
  <si>
    <t>Đấu giá quyền sử dụng đất công (thửa 192 TBĐ 06)</t>
  </si>
  <si>
    <t>thửa 192 TBĐ 06</t>
  </si>
  <si>
    <t>Đấu giá quyền sử dụng đất công (thửa 393 TBĐ 35)</t>
  </si>
  <si>
    <t>thửa 393 TBĐ 35</t>
  </si>
  <si>
    <t>Đấu giá quyền sử dụng đất công (thửa 555 TBĐ 19)</t>
  </si>
  <si>
    <t>thửa 555 TBĐ 19</t>
  </si>
  <si>
    <t>Đấu giá quyền sử dụng đất công (thửa 136 TBĐ 26)</t>
  </si>
  <si>
    <t>thửa 136 TBĐ 26</t>
  </si>
  <si>
    <t>Đấu giá quyền sử dụng đất công (thửa đất số 74, 75, 98 TBĐ số 09)</t>
  </si>
  <si>
    <t>thửa đất số 74, 75, 98 TBĐ số 09</t>
  </si>
  <si>
    <t xml:space="preserve">Cấp GCN 1 phần đất rạch thuộc tờ bản đồ 33 </t>
  </si>
  <si>
    <t>TBĐ 33</t>
  </si>
  <si>
    <t>Đấu giá quyền sử dụng đất công (thửa đất số 660 TBĐ số 33)</t>
  </si>
  <si>
    <t>thửa đất số 660 TBĐ số 33</t>
  </si>
  <si>
    <t>Đấu giá quyền sử dụng đất công (thửa đất số 802 TBĐ số 6)</t>
  </si>
  <si>
    <t>thửa đất số 802 TBĐ số 6</t>
  </si>
  <si>
    <t>Đấu giá quyền sử dụng đất công (thửa đất số 798-1 TBĐ số 6)</t>
  </si>
  <si>
    <t>thửa đất số 798-1 TBĐ số 6</t>
  </si>
  <si>
    <t>Đấu giá quyền sử dụng đất công (1 phần đất rạch thuộc TBĐ 64)</t>
  </si>
  <si>
    <t>TBĐ 64</t>
  </si>
  <si>
    <t>Đấu giá quyền sử dụng đất công (thửa 554 TBĐ 19)</t>
  </si>
  <si>
    <t>thửa 554 TBĐ 19</t>
  </si>
  <si>
    <t>Đấu giá quyền sử dụng đất công trong dự án</t>
  </si>
  <si>
    <t>Đấu giá quyền sử dụng đất công (thửa số 101 TBĐ 4; 613, 1008 TBĐ 5)</t>
  </si>
  <si>
    <t>thửa số 101 TBĐ 4; 613, 1008 TBĐ 5</t>
  </si>
  <si>
    <t>Đấu giá quyền sử dụng đất công (thửa 254 TBĐ 20)</t>
  </si>
  <si>
    <t>thửa 254 TBĐ 20</t>
  </si>
  <si>
    <t>Đang làm giá</t>
  </si>
  <si>
    <t>Đấu giá quyền sử dụng đất công (thửa số 20 TBĐ 28)</t>
  </si>
  <si>
    <t>thửa số 20 TBĐ 28</t>
  </si>
  <si>
    <t>Đấu giá quyền sử dụng đất công (thửa 302 tờ 18)</t>
  </si>
  <si>
    <t>thửa 302 tờ 18</t>
  </si>
  <si>
    <t>Đấu giá quyền sử dụng đất công (thửa 367 TBĐ 18)</t>
  </si>
  <si>
    <t>thửa 367 TBĐ 18</t>
  </si>
  <si>
    <t>Đấu giá quyền sử dụng đất công (thửa 66 TBĐ 21)</t>
  </si>
  <si>
    <t>thửa 66 TBĐ 21</t>
  </si>
  <si>
    <t>Đấu giá quyền sử dụng đất công (thửa 12 TBĐ 14)</t>
  </si>
  <si>
    <t>thửa 12 TBĐ 14</t>
  </si>
  <si>
    <t>Đấu giá quyền sử dụng đất công (thửa 430 TBĐ 18)</t>
  </si>
  <si>
    <t>thửa 430 TBĐ 18</t>
  </si>
  <si>
    <t>Đấu giá quyền sử dụng đất công (thửa 85, 86 TBĐ 18)</t>
  </si>
  <si>
    <t>thửa 85, 86 TBĐ 18</t>
  </si>
  <si>
    <t>Đấu giá quyền sử dụng đất công (thửa số 133, 134, 135; TBĐ số 10)</t>
  </si>
  <si>
    <t>thửa số 133, 134, 135; TBĐ số 10</t>
  </si>
  <si>
    <t>Đấu giá quyền sử dụng đất công (thửa 213, TBĐ 10)</t>
  </si>
  <si>
    <t>thửa 213, TBĐ 10</t>
  </si>
  <si>
    <t>Đấu giá quyền sử dụng đất công (thửa đất số 2210 TBĐ 03)</t>
  </si>
  <si>
    <t>thửa đất số 2210 TBĐ 03</t>
  </si>
  <si>
    <t>Đấu giá quyền sử dụng đất công (thửa 484 TBĐ 02)</t>
  </si>
  <si>
    <t>thửa 484 TBĐ 02</t>
  </si>
  <si>
    <t>Đấu giá quyền sử dụng đất công (số 82 TBĐ 02)</t>
  </si>
  <si>
    <t>số 82 TBĐ 02</t>
  </si>
  <si>
    <t>Đấu giá quyền sử dụng đất công (thửa 590 TBĐ 09)</t>
  </si>
  <si>
    <t>thửa 590 TBĐ 09</t>
  </si>
  <si>
    <t>Đấu giá quyền sử dụng đất công (Trường Mẫu giáo Long Hậu (điểm ấp 2/5))</t>
  </si>
  <si>
    <t>Đấu giá quyền sử dụng đất công (thửa số 1187 TBĐ 04)</t>
  </si>
  <si>
    <t>thửa số 1187 TBĐ 04</t>
  </si>
  <si>
    <t>LUC, HNK, CLN</t>
  </si>
  <si>
    <t>Các xã</t>
  </si>
  <si>
    <t>Đấu giá quyền sử dụng các thửa đất công trên địa bàn các xã</t>
  </si>
  <si>
    <t>Chuyển mục đích sử dụng đất từ đất nông nghiệp sang đất thương mại dịch vụ</t>
  </si>
  <si>
    <t>Chuyển mục đích của hộ gia đình, cá nhân tại thị trấn</t>
  </si>
  <si>
    <t>Chuyển mục đích của hộ gia đình, cá nhân trên địa bàn các xã</t>
  </si>
  <si>
    <t>a</t>
  </si>
  <si>
    <t>b</t>
  </si>
  <si>
    <t>c</t>
  </si>
  <si>
    <t>d</t>
  </si>
  <si>
    <t>e</t>
  </si>
  <si>
    <t>f</t>
  </si>
  <si>
    <t>g</t>
  </si>
  <si>
    <t>h</t>
  </si>
  <si>
    <t>k</t>
  </si>
  <si>
    <t>m</t>
  </si>
  <si>
    <t xml:space="preserve">LUC, LUK, </t>
  </si>
  <si>
    <t>Loại đất chạy chu chuyển</t>
  </si>
  <si>
    <t>Loại đất lấy vào theo rà soát ngày 30/11 và 1//12</t>
  </si>
  <si>
    <t>Địa điểm theo dõi</t>
  </si>
  <si>
    <t>Vị trí theo dõi</t>
  </si>
  <si>
    <t>LUA, CLN, ONT, SON</t>
  </si>
  <si>
    <t>LUC, CLN, ONT, SON</t>
  </si>
  <si>
    <t>Long An, TT Cần Giuộc</t>
  </si>
  <si>
    <t>Tờ 1, Tờ 74</t>
  </si>
  <si>
    <t>Xy=597467.852,1169703.942</t>
  </si>
  <si>
    <t>Quy hoạch đất quốc phòng</t>
  </si>
  <si>
    <t>TBĐ 03</t>
  </si>
  <si>
    <t>Xy=606032.338,1164761.907</t>
  </si>
  <si>
    <t>DSH, ODT</t>
  </si>
  <si>
    <t>Xy=600136.840,1174405.313</t>
  </si>
  <si>
    <t>Xy=599819.154,1172740.810</t>
  </si>
  <si>
    <t>LUA, DSH, ONT</t>
  </si>
  <si>
    <t>LUC, DSH, ONT</t>
  </si>
  <si>
    <t>Xy=597353.913,1166429.096</t>
  </si>
  <si>
    <t>Xy=599500.448,1165583.277</t>
  </si>
  <si>
    <t>Xy=593885.968,1176305.816</t>
  </si>
  <si>
    <t>Xy=594056.101,1175614.738</t>
  </si>
  <si>
    <t>Xy=601539.886,1172945.036</t>
  </si>
  <si>
    <t>Xy=595069.408,1171422.401</t>
  </si>
  <si>
    <t>Xy=605265.088,1168851.159</t>
  </si>
  <si>
    <t>NTS, DYT</t>
  </si>
  <si>
    <t>Xy=600948.618,1166786.327</t>
  </si>
  <si>
    <t>Xy=603673.776,1165087.977</t>
  </si>
  <si>
    <t>Xy=594545.872,1168610.319</t>
  </si>
  <si>
    <t>DGD, TSC</t>
  </si>
  <si>
    <t>Xy=596514.013,1173033.257</t>
  </si>
  <si>
    <t>Xy=589061.107,1177194.497</t>
  </si>
  <si>
    <t>LUA, HNK, CLN, NTS, DHT, ONT, SON</t>
  </si>
  <si>
    <t>LUC, HNK, NTD</t>
  </si>
  <si>
    <t>LUA, HNK, CLN, NTS, DGT, NTD, ONT, SON</t>
  </si>
  <si>
    <t>Xy=599893.253,1176189.253</t>
  </si>
  <si>
    <t>HNK, CLN, NTS, DGT, NTD, ONT, SON</t>
  </si>
  <si>
    <t>Xy=604709.084,1175746.904</t>
  </si>
  <si>
    <t>LUA, HNK, CLN, NTS, DHT, ONT, SON,SKC, TMD, TIN</t>
  </si>
  <si>
    <t>LUK, HNK, CLN, NTS, DGT, ONT, SON</t>
  </si>
  <si>
    <t>LUA, HNK, CLN, NTS, DGT, NTD, ONT, SON,SKC, TMD, TIN</t>
  </si>
  <si>
    <t>Xy=606638.180,1174383.930</t>
  </si>
  <si>
    <t>LUA, HNK, CLN, NTS, SKC, TMD, DHT, ONT, SON, TIN</t>
  </si>
  <si>
    <t>LUK, HNK, CLN, NTS, SKC, DGT, DGD, ONT, SON</t>
  </si>
  <si>
    <t>LUA, HNK, CLN, NTS, SKC, TMD, DGT, DTL, DGD, ONT, SON, TON, TIN</t>
  </si>
  <si>
    <t>TBĐ 3, 4, 7, 8</t>
  </si>
  <si>
    <t>Xy=604984.599,1162928.197</t>
  </si>
  <si>
    <t>LUK, HNK, CLN, NTS, DGT, DGD, NTD, ONT, SON</t>
  </si>
  <si>
    <t>LUA, HNK, CLN, NTS, DGT, DGD, NTD, ONT, SON</t>
  </si>
  <si>
    <t>TBĐ 3, 8</t>
  </si>
  <si>
    <t>Xy=606827.515,1164060.680</t>
  </si>
  <si>
    <t>LUA, HNK, CLN, DHT, ONT, NTS, SON</t>
  </si>
  <si>
    <t>LUC, HNK, CLN, DGT, ONT</t>
  </si>
  <si>
    <t>LUA, HNK, CLN, DGT, ONT, NTS, SON</t>
  </si>
  <si>
    <t>Xy=606645.80,1165034.50</t>
  </si>
  <si>
    <t>LUK, HNK, CLN, NTS, NTD, SON</t>
  </si>
  <si>
    <t>Tân Tập, Phước Vĩnh Đông</t>
  </si>
  <si>
    <t xml:space="preserve">TBĐ 2, 3, 4 Tân Tập </t>
  </si>
  <si>
    <t>Xy=606784.465,1165330.526</t>
  </si>
  <si>
    <t>LUK, HNK, CLN, NTS</t>
  </si>
  <si>
    <t>TBĐ 5, 6 PVĐ</t>
  </si>
  <si>
    <t>LUA, HNK, CLN, DHT, ONT</t>
  </si>
  <si>
    <t>LUC, HNK, CLN, DGT, NTD, ONT</t>
  </si>
  <si>
    <t>Xy=598454.327,1168682.772</t>
  </si>
  <si>
    <t>LUC, HNK, CLN, NTS, NTD, ONT</t>
  </si>
  <si>
    <t>Xy=596939.329,1166233.253</t>
  </si>
  <si>
    <t>LUC, HNK, CLN, ONT</t>
  </si>
  <si>
    <t>Xy=599111.082,1164965.589</t>
  </si>
  <si>
    <t>LUA, HNK, CLN, ONT, NTS</t>
  </si>
  <si>
    <t>LUC, HNK, CLN, ONT, NTS</t>
  </si>
  <si>
    <t>Xy=593073.077,1177739.587</t>
  </si>
  <si>
    <t>HNK, CLN, NTS, DGT, ONT, SON</t>
  </si>
  <si>
    <t>LUA, HNK, CLN, NTS,  DGT, DTL, DGD, DSH, ONT, SON, NTD</t>
  </si>
  <si>
    <t>Xy=605702.724,1170063.505</t>
  </si>
  <si>
    <t>CLN, DGT, DGD, ONT</t>
  </si>
  <si>
    <t>Xy=606528.296,1170090.264</t>
  </si>
  <si>
    <t>LUK, NTD, SON</t>
  </si>
  <si>
    <t>Xy=606082.216,1169481.169</t>
  </si>
  <si>
    <t>CLN, NTS, ONT, SON</t>
  </si>
  <si>
    <t>Xy=606755.206,1169858.644</t>
  </si>
  <si>
    <t>LUK, CLN, NTS, SKC, ONT</t>
  </si>
  <si>
    <t>Xy=606324.13,1163213.13</t>
  </si>
  <si>
    <t>LUA, HNK, CLN, NTS,  DHT, ONT, SON</t>
  </si>
  <si>
    <t>LUK, HNK, CLN, NTS, ONT</t>
  </si>
  <si>
    <t>Xy=606658.99,1169032.84</t>
  </si>
  <si>
    <t>HNK, CLN, NTS, DHT, ONT, TIN, SON</t>
  </si>
  <si>
    <t>HNK, CLN, NTS, DGT, ONT, TIN, SON</t>
  </si>
  <si>
    <t>Xy=606003.706,1167919.785</t>
  </si>
  <si>
    <t>LUA, HNK, CLN, NTS</t>
  </si>
  <si>
    <t>LUC, HNK, CLN, NTS</t>
  </si>
  <si>
    <t>Xy=598364.657,1167524.074</t>
  </si>
  <si>
    <t>Xy=596958.876,1168104.441</t>
  </si>
  <si>
    <t>CLN, NTS, ONT</t>
  </si>
  <si>
    <t>Xy=607530.701,1163426.745</t>
  </si>
  <si>
    <t>Đã được giao 2,95 ha, đã thương lượng 70% trên tổng 10 ha</t>
  </si>
  <si>
    <t>Xy=591533.488,1177748.373</t>
  </si>
  <si>
    <t>Phước Lâm, Phước Hậu</t>
  </si>
  <si>
    <t>Thửa 659 TBĐ 01; Thửa 3213 TBĐ 03</t>
  </si>
  <si>
    <t>Xy=594293.01,1172907.40</t>
  </si>
  <si>
    <t>Xy=593953.22,1170300.07</t>
  </si>
  <si>
    <t>LUA, HNK, NTS, ONT</t>
  </si>
  <si>
    <t>LUC, HNK, NTS, ONT</t>
  </si>
  <si>
    <t>Xy=592475.12,1172372.25</t>
  </si>
  <si>
    <t>Phước Lâm, Mỹ Lộc</t>
  </si>
  <si>
    <t>Thửa 212, 213, 443, 451, 4284, 4835, 5052, 7294 TBĐ 03; Thửa 457, 474 TBĐ 14</t>
  </si>
  <si>
    <t>LUA, NTS</t>
  </si>
  <si>
    <t>LUC, NTS</t>
  </si>
  <si>
    <t>Xy=594541.90,1172626.82</t>
  </si>
  <si>
    <t>HNK, ONT</t>
  </si>
  <si>
    <t>Xy=594535.96,1172634.70</t>
  </si>
  <si>
    <t>LUA, HNK</t>
  </si>
  <si>
    <t>LUC, HNK</t>
  </si>
  <si>
    <t>LUK, CLN</t>
  </si>
  <si>
    <t>Xy=598654.48,1176306.71</t>
  </si>
  <si>
    <t>Xy=599938.12,1161938.51</t>
  </si>
  <si>
    <t>Xy=588045.228,1177130.371</t>
  </si>
  <si>
    <t>Xy=589741.42,1178058.84</t>
  </si>
  <si>
    <t>Xy=594036.555,1175300.490</t>
  </si>
  <si>
    <t>LUA, NTD</t>
  </si>
  <si>
    <t>LUC, NTD</t>
  </si>
  <si>
    <t>Xy=594672.019,1174073.847</t>
  </si>
  <si>
    <t xml:space="preserve">LUA, HNK, CLN, DGT,  NTS, </t>
  </si>
  <si>
    <t>Xy=607808.115,1163950.417</t>
  </si>
  <si>
    <t>LUA, CLN</t>
  </si>
  <si>
    <t>LUC, CLN</t>
  </si>
  <si>
    <t>Xy=597626.835,1170317.871</t>
  </si>
  <si>
    <t>Xy=597483.690,1170352.347</t>
  </si>
  <si>
    <t>Xy=597302.099,1168024.351</t>
  </si>
  <si>
    <t>LUA, HNK, CLN, ONT</t>
  </si>
  <si>
    <t>Xy=589704.276,1178028.621</t>
  </si>
  <si>
    <t>Xy=603318.693,1161727.322</t>
  </si>
  <si>
    <t>Thửa 1033 TBĐ 22</t>
  </si>
  <si>
    <t>Xy=587843.238,1176903.030</t>
  </si>
  <si>
    <t>LUA, HNK, ONT</t>
  </si>
  <si>
    <t>LUC, HNK, ONT</t>
  </si>
  <si>
    <t>Xy=592773.79,1170438.87</t>
  </si>
  <si>
    <t>HNK, CLN</t>
  </si>
  <si>
    <t>Tờ 3, 4</t>
  </si>
  <si>
    <t>Xy=593025.674,1174369.251</t>
  </si>
  <si>
    <t>LUA, DHT</t>
  </si>
  <si>
    <t>LUC, DGT</t>
  </si>
  <si>
    <t>Tờ 3</t>
  </si>
  <si>
    <t>Xy=594258.099,1173240.612</t>
  </si>
  <si>
    <t>Xy=592359.035,1173838.246</t>
  </si>
  <si>
    <t>LUA, CLN, NTS, NKH, DHT, ONT, SON</t>
  </si>
  <si>
    <t>LUC, CLN, NTS, NKH, DGT, ONT, SON</t>
  </si>
  <si>
    <t>Xy=594247.663,1176332.162</t>
  </si>
  <si>
    <t>LUA, DHT, ONT</t>
  </si>
  <si>
    <t>LUC, DGT, ONT</t>
  </si>
  <si>
    <t>Xy=593558.834,1174710.645</t>
  </si>
  <si>
    <t>Xy=594128.163,1170699.760</t>
  </si>
  <si>
    <t>LUA, ONT</t>
  </si>
  <si>
    <t>LUC, ONT</t>
  </si>
  <si>
    <t>Xy=595433.376,1172298.255</t>
  </si>
  <si>
    <t>LUA, HNK, CLN, NTS, DHT, ONT, SON, TIN</t>
  </si>
  <si>
    <t>LUA, HNK, CLN, NTS, DGT, NTD, ONT, SON, TIN</t>
  </si>
  <si>
    <t>Long An, Phước Lại, Phước Vĩnh Tây, Phước Vĩnh Đông, Thuận Thành</t>
  </si>
  <si>
    <t>TBĐ 2, 4 PVĐ</t>
  </si>
  <si>
    <t>LUA, SON</t>
  </si>
  <si>
    <t>Xy=602018.93,1169699.17</t>
  </si>
  <si>
    <t>LUK, HNK, CLN, NTS, DGT, NTD, ONT, SON</t>
  </si>
  <si>
    <t>CLN, ONT</t>
  </si>
  <si>
    <t>Xy=605933.075,1170622.170</t>
  </si>
  <si>
    <t>ko chạy chu chuyển</t>
  </si>
  <si>
    <t>LUA, HNK, CLN, NTS, SKC, TMD, DHT, ONT, SON</t>
  </si>
  <si>
    <t>LUA, HNK, CLN, NTS, SKC, TMD, DGT, DTL, DGD, ONT, SON</t>
  </si>
  <si>
    <t>Phước Vĩnh Tây, Phước Vĩnh Đông, Tân Tập</t>
  </si>
  <si>
    <t>TBĐ 3; TBĐ 4,5; TBĐ 1,4</t>
  </si>
  <si>
    <t>Xy=603890.32,1169759.11</t>
  </si>
  <si>
    <t>Xy=603672.560,1166950.240</t>
  </si>
  <si>
    <t>Xy=603593.77,1165971.89</t>
  </si>
  <si>
    <t>LUA, HNK, SKC, DHT, ONT</t>
  </si>
  <si>
    <t>LUA, HNK, SKC, DGT, DTL, TON, NTD, ONT</t>
  </si>
  <si>
    <t>Thuận Thành, Phước Lâm, Mỹ Lộc, TT Cần Giuộc, Long Hậu</t>
  </si>
  <si>
    <t>TBĐ 02, 5, 6 : Phước Lâm; TBĐ 5 Long Hậu</t>
  </si>
  <si>
    <t>LUA, HNK, NTS, DGT, NTD, ONT, TIN</t>
  </si>
  <si>
    <t>TBĐ 02, 5, 6 : Phước Lâm</t>
  </si>
  <si>
    <t>Xy=596591.79,1171696.14</t>
  </si>
  <si>
    <t>LUA, HNK, NTS, SKC, DGT, NTD, ONT</t>
  </si>
  <si>
    <t>Xy=597301.07,1173281.81</t>
  </si>
  <si>
    <t>LUA, HNK, NTS, SKK, SKC, DGT, NTD, ODT, SON</t>
  </si>
  <si>
    <t>NTS, DTL, NTD, ONT</t>
  </si>
  <si>
    <t>Xy=601695.21,1176362.79</t>
  </si>
  <si>
    <t>LUA, HNK, CLN, NTS, DHT, ODT, SON</t>
  </si>
  <si>
    <t>LUA, HNK, CLN, NTS, DGT, NTD, ODT, SON</t>
  </si>
  <si>
    <t>TT Cần Giuộc (Tân Kim cũ), Long Hậu</t>
  </si>
  <si>
    <t>TBĐ 59 TT; TBĐ 5 Long Hậu</t>
  </si>
  <si>
    <t>LUC, HNK, CLN, NTS, DGT, NTD, ODT, SON</t>
  </si>
  <si>
    <t>Xy=600898.76,1176327.42</t>
  </si>
  <si>
    <t>LUA, HNK, CLN, NTS, DGT,  ONT, SON</t>
  </si>
  <si>
    <t>TBĐ 25, 4-2, 5</t>
  </si>
  <si>
    <t>Xy=602469.244,1177418.942</t>
  </si>
  <si>
    <t>LUA, HNK, CLN, NTS, DHT,  ONT, SON</t>
  </si>
  <si>
    <t>NTS, DGT, ONT</t>
  </si>
  <si>
    <t>TBĐ 4, 4-1, 5</t>
  </si>
  <si>
    <t>Xy=603210.307,1176770.334</t>
  </si>
  <si>
    <t>Xy=608375.086,1164278.992</t>
  </si>
  <si>
    <t>Xy=607992.792,1163377.218</t>
  </si>
  <si>
    <t xml:space="preserve">LUA, HNK, CLN, DHT,  NTS, </t>
  </si>
  <si>
    <t>Xy=607911.703,1163410.511</t>
  </si>
  <si>
    <t>LUA, HNK, CLN, NTS, DGT, DTL, ONT, SON</t>
  </si>
  <si>
    <t>Xy=608011.615,1166179.176</t>
  </si>
  <si>
    <t>Xy=598968.612,1165613.732</t>
  </si>
  <si>
    <t>Xy=596063.381,1167468.851</t>
  </si>
  <si>
    <t>Thửa 1866 TBĐ 3</t>
  </si>
  <si>
    <t>Xy=608160.040,1164702.437</t>
  </si>
  <si>
    <t>Đường gom dân sinh xã Phước Lý</t>
  </si>
  <si>
    <t>Thửa 929 TBĐ 03</t>
  </si>
  <si>
    <t>Mở rộng đường đê Trường Long</t>
  </si>
  <si>
    <t>LUC:0,15;NTS:0,11;</t>
  </si>
  <si>
    <t>Xy=598356.630,1167879.748</t>
  </si>
  <si>
    <t>Xy=594231.423,1172847.757</t>
  </si>
  <si>
    <t>LUA, HNK, CLN</t>
  </si>
  <si>
    <t>Tờ 4, 5</t>
  </si>
  <si>
    <t>Xy=599926.217,1162488.943</t>
  </si>
  <si>
    <t>Xy=599668.403,1164460.032</t>
  </si>
  <si>
    <t>Xy=595711.07,1174007.39</t>
  </si>
  <si>
    <t>LUA, HNK, NTS, DHT, ONT</t>
  </si>
  <si>
    <t>LUC, HNK, NTS, TON, ONT</t>
  </si>
  <si>
    <t>Xy=595207.48,1174387.34</t>
  </si>
  <si>
    <t>Xy=597043.14,1173929.22</t>
  </si>
  <si>
    <t>Xy=596976.08,1173712.68</t>
  </si>
  <si>
    <t>Xy=596594.12,1173874.46</t>
  </si>
  <si>
    <t>Xy=597665.92,1169396.74</t>
  </si>
  <si>
    <t>LUK, HNK</t>
  </si>
  <si>
    <t>Tờ 5</t>
  </si>
  <si>
    <t>Xy=600895.011,1161818.969</t>
  </si>
  <si>
    <t>LUA, HNK, CLN, NTS, SKC, ONT</t>
  </si>
  <si>
    <t>LUC, HNK, CLN, NTS, SKC, ONT</t>
  </si>
  <si>
    <t>Xy=594479.44,1169247.79</t>
  </si>
  <si>
    <t>Xy=594498.96,1169551.79</t>
  </si>
  <si>
    <t>LUA, HNK, NTD</t>
  </si>
  <si>
    <t>Xy=598751.550,1173523.410</t>
  </si>
  <si>
    <t>LUA, HNK, CLN, ODT, SON</t>
  </si>
  <si>
    <t>Long An; TT Cần Giuộc</t>
  </si>
  <si>
    <t>TBĐ 1 LA; TBĐ 74 TT</t>
  </si>
  <si>
    <t>LUA, CLN, SON</t>
  </si>
  <si>
    <t>LUC, CLN, SON</t>
  </si>
  <si>
    <t>Xy=597568.52,1169830.20</t>
  </si>
  <si>
    <t>ODT, SON</t>
  </si>
  <si>
    <t>LUC, HNK, CLN, ODT, SON</t>
  </si>
  <si>
    <t>TBĐ 74</t>
  </si>
  <si>
    <t>Xy=597561.500,1169892.030</t>
  </si>
  <si>
    <t>Xy=602145.954,1172250.242</t>
  </si>
  <si>
    <t>Xy=605604.156,1169036.590</t>
  </si>
  <si>
    <t>Xy=596509.900,1168202.971</t>
  </si>
  <si>
    <t>Xy=589228.531,1177111.127</t>
  </si>
  <si>
    <t>Xy=596470.431,1173048.936</t>
  </si>
  <si>
    <t>Xy=594589.906,1168573.188</t>
  </si>
  <si>
    <t>Xy=603201.475,1172116.634</t>
  </si>
  <si>
    <t>Xy=604410.214,1164960.601</t>
  </si>
  <si>
    <t>Cấp GCN Nhà văn hóa ấp Thuận Đông</t>
  </si>
  <si>
    <t>Xy=594121.858,1175463.502</t>
  </si>
  <si>
    <t>Xy=600995.599,1172457.893</t>
  </si>
  <si>
    <t>Xy=594058.141,1175516.235</t>
  </si>
  <si>
    <t>Xy=601284.460,1173292.577</t>
  </si>
  <si>
    <t>Xy=594925.952,1168318.185</t>
  </si>
  <si>
    <t>Thửa 1005 TBĐ 4</t>
  </si>
  <si>
    <t>Xy=604099.647,1165044.084</t>
  </si>
  <si>
    <t>Xy=600729.229,1165248.839</t>
  </si>
  <si>
    <t>Xy=601613.976,1169128.668</t>
  </si>
  <si>
    <t>Xy=600426.612,1175797.122</t>
  </si>
  <si>
    <t>Xy=594289.692,1171432.711</t>
  </si>
  <si>
    <t>Xy=596666.310,1169551.212</t>
  </si>
  <si>
    <t>Tờ 7</t>
  </si>
  <si>
    <t>Xy=603429.704,1163099.608</t>
  </si>
  <si>
    <t>Tờ 4</t>
  </si>
  <si>
    <t>Xy=604367.498,1164620.340</t>
  </si>
  <si>
    <t>Xy=600107.565,1172156.331</t>
  </si>
  <si>
    <t>Xy=599226.808,1172287.666</t>
  </si>
  <si>
    <t>LUA, ODT</t>
  </si>
  <si>
    <t>LUC, ODT</t>
  </si>
  <si>
    <t>Xy=595518.568,1172638.505</t>
  </si>
  <si>
    <t>Xy=600013.687,1172115.231</t>
  </si>
  <si>
    <t>Xy=600560.858,1173018.628</t>
  </si>
  <si>
    <t>Xy=595531.211,1172666.700</t>
  </si>
  <si>
    <t>Xy=596618.857,1173121.357</t>
  </si>
  <si>
    <t>Xy=598171.480,1171202.017</t>
  </si>
  <si>
    <t>Xy=595188.278,1172946.471</t>
  </si>
  <si>
    <t>Xy=597697.083,1170535.543</t>
  </si>
  <si>
    <t>Xy=596405.610,1172938.204</t>
  </si>
  <si>
    <t>Xy=595522.100,1172131.990</t>
  </si>
  <si>
    <t>Xy=592955.375,1176831.874</t>
  </si>
  <si>
    <t>Xy=592428.788,1173681.196</t>
  </si>
  <si>
    <t>Xy=593906.008,1175461.235</t>
  </si>
  <si>
    <t>Xy=601401.902,1173465.563</t>
  </si>
  <si>
    <t>Xy=601332.498,1173563.986</t>
  </si>
  <si>
    <t>Xy=602927.512,1172250.558</t>
  </si>
  <si>
    <t>LUA; NTS; HNK; DHT; ONT</t>
  </si>
  <si>
    <t>LUC: 0,66; HNK: 0,06; NTS: 0,29; DGT: 0,01; ONT: 0,03; DGD: 0,07</t>
  </si>
  <si>
    <t>Xy=601675.538,1174143.228</t>
  </si>
  <si>
    <t>Xy=602232.811,1172202.076</t>
  </si>
  <si>
    <t>Xy=601868.887,1170359.803</t>
  </si>
  <si>
    <t>Xy=601896.145,1169957.659</t>
  </si>
  <si>
    <t>Xy=600791.201,1164438.483</t>
  </si>
  <si>
    <t>Xy=600165.420,1165393.972</t>
  </si>
  <si>
    <t>Xy=599552.154,1165652.058</t>
  </si>
  <si>
    <t>Xy=602564.387,1164963.495</t>
  </si>
  <si>
    <t>Xy=604357.136,1164551.274</t>
  </si>
  <si>
    <t>Thửa 1492 TBĐ 18</t>
  </si>
  <si>
    <t>Xy=589116.291,1177112.734</t>
  </si>
  <si>
    <t>Xy=599918.512,1173338.967</t>
  </si>
  <si>
    <t>Xy=595519.849,1171974.252</t>
  </si>
  <si>
    <t>Xy=593972.910,1176420.460</t>
  </si>
  <si>
    <t>Xy=602364.236,1177886.590</t>
  </si>
  <si>
    <t>Cấp GCN phần Mở rộng Trường THCS Nguyễn Văn Chính</t>
  </si>
  <si>
    <t>Thửa 208, 218, 476, 500, 527 TBĐ 18, 24</t>
  </si>
  <si>
    <t>Xy=589289.422,1177052.806</t>
  </si>
  <si>
    <t>LUA, HNK, DHT, ONT, SON</t>
  </si>
  <si>
    <t>LUC, HNK, DGT, ONT, SON</t>
  </si>
  <si>
    <t>Xy=593750.510,1177108.810</t>
  </si>
  <si>
    <t>LUA, DGD</t>
  </si>
  <si>
    <t>LUC, DGD</t>
  </si>
  <si>
    <t>Xy=592673.159,1170095.485</t>
  </si>
  <si>
    <t>LUC, LUK, HNK, CLN, NTS</t>
  </si>
  <si>
    <t>Long Hậu, Phước Lại</t>
  </si>
  <si>
    <t>Xy=598256.288,1170697.349</t>
  </si>
  <si>
    <t>Đông Thanh, Tân Tập, Phước Vĩnh Đông, Phước Lại, Long Hậu</t>
  </si>
  <si>
    <t>CLN, NTS</t>
  </si>
  <si>
    <t>LUA, HNK, NTS, DGT, ONT, NTD</t>
  </si>
  <si>
    <t>LUC, HNK, NTS, DGT, ONT</t>
  </si>
  <si>
    <t>Xy=593741.94,1169877.54</t>
  </si>
  <si>
    <t>Long Hậu, Phước Lại, Thuận Thành, Long An, TT Cần Giuộc</t>
  </si>
  <si>
    <t>LUA, LUK, HNK, CLN, NTS</t>
  </si>
  <si>
    <t>Nhà máy điện LNG Long An 1,2 và đường dây đấu nối, ống dẫn khí</t>
  </si>
  <si>
    <t>HNK, CLN, NTS, SKK, DGT, NTD, ONT, SON</t>
  </si>
  <si>
    <t>Xy=606719.357,1168161.339</t>
  </si>
  <si>
    <t>Phước Lại, Phước Vĩnh Đông</t>
  </si>
  <si>
    <t>Xy=604440.386,1167344.501</t>
  </si>
  <si>
    <t>Xy=605335.473,1169001.285</t>
  </si>
  <si>
    <t>Xy=601816.447,1166801.424</t>
  </si>
  <si>
    <t>Xy=596337.896,1174458.919</t>
  </si>
  <si>
    <t>Xy=600332.185,1172171.623</t>
  </si>
  <si>
    <t>Xy=599981.834,1175286.736</t>
  </si>
  <si>
    <t>Xy=587934.732,1177499.460</t>
  </si>
  <si>
    <t>Xy=591072.008,1177330.695</t>
  </si>
  <si>
    <t>Xy=591805.559,1177572.520</t>
  </si>
  <si>
    <t>Xy=599472.318,1166756.483</t>
  </si>
  <si>
    <t>Xy=598719.477,1165648.549</t>
  </si>
  <si>
    <t>Xy=600110.156,1166143.129</t>
  </si>
  <si>
    <t>Xy=601980.695,1170606.751</t>
  </si>
  <si>
    <t>Xy=603566.377,1165236.865</t>
  </si>
  <si>
    <t>Xy=594751.734,1173875.455</t>
  </si>
  <si>
    <t>Xy=594560.893,1173569.054</t>
  </si>
  <si>
    <t>Xy=592988.851,1169835.554</t>
  </si>
  <si>
    <t>NTS, ONT</t>
  </si>
  <si>
    <t>Xy=601573.070,1175705.064</t>
  </si>
  <si>
    <t>Cấp GCN Chùa Bồ Đề</t>
  </si>
  <si>
    <t>Thửa 1413, 1416 TBĐ 59</t>
  </si>
  <si>
    <t>Xy=600085.740,1175228.493</t>
  </si>
  <si>
    <t>Xy=597759.287,1167862.919</t>
  </si>
  <si>
    <t>Xy=593128.308,1171835.027</t>
  </si>
  <si>
    <t>Xy=596747.643,1173512.369</t>
  </si>
  <si>
    <t>Xy=596849.739,1173341.382</t>
  </si>
  <si>
    <t>Xy=596232.420,1169415.147</t>
  </si>
  <si>
    <t>LUA, HNK, CLN, NTS, DHT, ONT</t>
  </si>
  <si>
    <t>LUC, HNK, CLN, NTS, DGT, ONT</t>
  </si>
  <si>
    <t>TBĐ 18</t>
  </si>
  <si>
    <t>Xy=589830.628,1177186.042</t>
  </si>
  <si>
    <t>Xy=603552.934,1163625.307</t>
  </si>
  <si>
    <t>Xy=593435.850,1175442.270</t>
  </si>
  <si>
    <t>Xy=599736.957,1172138.237</t>
  </si>
  <si>
    <t>LUK, HNK, NTS, DGT, TIN, SON</t>
  </si>
  <si>
    <t>Xy=603472.447,1163675.340</t>
  </si>
  <si>
    <t>LUA, HNK, DHT, ONT</t>
  </si>
  <si>
    <t>LUC, HNK, NTD, ONT</t>
  </si>
  <si>
    <t>Xy=594140.662,1171072.330</t>
  </si>
  <si>
    <t>Xy=600893.223,1172588.525</t>
  </si>
  <si>
    <t>Xy=599720.742,1172256.470</t>
  </si>
  <si>
    <t>Xy=597811.705,1170428.467</t>
  </si>
  <si>
    <t>Xy=600482.860,1171657.014</t>
  </si>
  <si>
    <t>Xy=598240.664,1172679.845</t>
  </si>
  <si>
    <t>Thửa 61 TBĐ 5</t>
  </si>
  <si>
    <t>Xy=600584.074,1173309.983</t>
  </si>
  <si>
    <t>Xy=600703.526,1173189.644</t>
  </si>
  <si>
    <t>Thửa 20 TBĐ 16</t>
  </si>
  <si>
    <t>Xy=600740.932,1172929.887</t>
  </si>
  <si>
    <t>Thửa 113 TBĐ 17</t>
  </si>
  <si>
    <t>Xy=600562.172,1172840.306</t>
  </si>
  <si>
    <t>Giáp thửa 97 TBĐ 37</t>
  </si>
  <si>
    <t>Xy=600580.731,1174680.981</t>
  </si>
  <si>
    <t>Xy=599032.004,1176479.857</t>
  </si>
  <si>
    <t>Thửa 76 TBĐ 53</t>
  </si>
  <si>
    <t>Xy=600042.082,1173280.226</t>
  </si>
  <si>
    <t>Trung tâm văn hóa học tập cộng đồng xã (Trụ sở văn hóa 4 ấp)</t>
  </si>
  <si>
    <t>Xy=605599.430,1169033.120</t>
  </si>
  <si>
    <t>Xy=593428.666,1170262.814</t>
  </si>
  <si>
    <t>Xy=596717.106,1169625.831</t>
  </si>
  <si>
    <t>Thửa 992 TBĐ 4</t>
  </si>
  <si>
    <t>Xy=603944.087,1165066.148</t>
  </si>
  <si>
    <t>Xy=601889.152,1174664.192</t>
  </si>
  <si>
    <t>Xy=601926.041,1174215.772</t>
  </si>
  <si>
    <t>Xy=601742.315,1173449.763</t>
  </si>
  <si>
    <t>Xy=601841.246,1172241.211</t>
  </si>
  <si>
    <t>Xy=604268.216,1170352.658</t>
  </si>
  <si>
    <t>Xy=594658.077,1177459.134</t>
  </si>
  <si>
    <t>Xy=600412.021,1176003.417</t>
  </si>
  <si>
    <t>Xy=598372.668,1174553.416</t>
  </si>
  <si>
    <t>Xy=598615.352,1175825.393</t>
  </si>
  <si>
    <t>Xy=606090.386,1168527.770</t>
  </si>
  <si>
    <t>Xy=605768.989,1169611.980</t>
  </si>
  <si>
    <t>Xy=596478.286,1168344.615</t>
  </si>
  <si>
    <t>Xy=592948.478,1170095.006</t>
  </si>
  <si>
    <t>Xy=595115.760,1168207.868</t>
  </si>
  <si>
    <t>Xy=600006.067,1169566.663</t>
  </si>
  <si>
    <t>Xy=592743.376,1172480.130</t>
  </si>
  <si>
    <t>Xy=594006.675,1173857.515</t>
  </si>
  <si>
    <t>Xy=594092.438,1175486.396</t>
  </si>
  <si>
    <t>Xy=592359.744,1173680.317</t>
  </si>
  <si>
    <t>Xy=593169.475,1174988.181</t>
  </si>
  <si>
    <t>Xy=605569.192,1171881.866</t>
  </si>
  <si>
    <t>Xy=602672.660,1175951.660</t>
  </si>
  <si>
    <t>Xy=602340.670,1178006.746</t>
  </si>
  <si>
    <t>Cấp GCN Trụ sở ấp Đông An</t>
  </si>
  <si>
    <t>Xy=590990.373,1177414.373</t>
  </si>
  <si>
    <t>Xy=587542.278,1176652.096</t>
  </si>
  <si>
    <t>Xy=604408.242,1167323.142</t>
  </si>
  <si>
    <t>Xy=589259.776,1177096.476</t>
  </si>
  <si>
    <t>LUA, HNK, CLN, DHT, ONT, SON</t>
  </si>
  <si>
    <t>LUA, HNK, CLN, DGT, DCH, ONT, SON,  NTD</t>
  </si>
  <si>
    <t>TBĐ 2, 3, 5</t>
  </si>
  <si>
    <t>Xy=596190.923,1175208.810</t>
  </si>
  <si>
    <t>LUC, HNK, NTD, ONT, SON</t>
  </si>
  <si>
    <t>LUA, HNK, CLN, DGT, ONT, SON,  NTD</t>
  </si>
  <si>
    <t>Xy=596336.831,1175016.832</t>
  </si>
  <si>
    <t>Đông Thạnh, Tân Tập</t>
  </si>
  <si>
    <t>TBĐ 2 ĐT; TBĐ 1,4 Tân Tập</t>
  </si>
  <si>
    <t>CLN, NTS, NTD, ONT, SON</t>
  </si>
  <si>
    <t>Tờ 2</t>
  </si>
  <si>
    <t>Xy=603097.485,1166211.401</t>
  </si>
  <si>
    <t>LUK, HNK, CLN, NTS, NTD, ONT, SON</t>
  </si>
  <si>
    <t xml:space="preserve">Tờ 1, 4, </t>
  </si>
  <si>
    <t>Xy=602999.894,1165507.245</t>
  </si>
  <si>
    <t>Xy=605022.940,1164750.040</t>
  </si>
  <si>
    <t>LUA, HNK, CLN, NTS, ONT, SON, TSC, DHT, TIN, …</t>
  </si>
  <si>
    <t>LUK, HNK, CLN, NTS, DGT, DSH, ONT</t>
  </si>
  <si>
    <t>LUA, HNK, CLN, NTS, DGT, NTD, ONT, SON, TSC, DYT, DGD, DSH, DBV, DVH, TON, TIN, …</t>
  </si>
  <si>
    <t>TBĐ 1, 2, 3, 4, 5, 6, 7, 8, 9, 10, 11, 12</t>
  </si>
  <si>
    <t>Xy=602106.373,1168026.409</t>
  </si>
  <si>
    <t>LUA, HNK, CLN,  ONT, NTS, DHT, TIN, SON</t>
  </si>
  <si>
    <t>Long Thượng, Mỹ Lộc</t>
  </si>
  <si>
    <t>TBĐ 19, 20, 21 Long Thượng; TBĐ 2 Mỹ Lộc</t>
  </si>
  <si>
    <t>LUA, HNK, CLN,  ONT, NTS, DGT, TIN, SON</t>
  </si>
  <si>
    <t>LUC, HNK, CLN,  ONT, NTS, DGT, TIN, SON</t>
  </si>
  <si>
    <t>TBĐ 19, 20, 21</t>
  </si>
  <si>
    <t>Xy=595634.880,1175726.189</t>
  </si>
  <si>
    <t>LUA, HNK, CLN,  ONT, SON, DGT, NTD</t>
  </si>
  <si>
    <t>Xy=595815.798,1175598.704</t>
  </si>
  <si>
    <t>LUA, HNK, CLN, NTS, NTD, ONT, SON, DHT, TIN</t>
  </si>
  <si>
    <t>LUC, LUK, HNK, CLN, NTS, NTD, ONT, SON</t>
  </si>
  <si>
    <t>LUA, HNK, CLN, NTS, NTD, ONT, SON, DGT, DGD, DSH, TON, TIN</t>
  </si>
  <si>
    <t>Tờ 1, 4/ Tờ 2, 3 xã Đông Thạnh</t>
  </si>
  <si>
    <t>Xy=603170.245,1166207.389</t>
  </si>
  <si>
    <t>LUA, HNK, CLN, TMD, DHT, ONT, SON</t>
  </si>
  <si>
    <t>Mỹ Lộc, Phước Lâm</t>
  </si>
  <si>
    <t>TBĐ 3, 4, 5, 6; TBĐ 02</t>
  </si>
  <si>
    <t>LUA, HNK, CLN, TMD, DGT, DCH, ONT, SON</t>
  </si>
  <si>
    <t>LUC, HNK, CLN, TMD, DGT, DCH, ONT, SON</t>
  </si>
  <si>
    <t>TBĐ 3, 4, 5, 6</t>
  </si>
  <si>
    <t>Xy=597052.510,1171233.836</t>
  </si>
  <si>
    <t>Gom lại, bổ sung vị trí trên BĐ</t>
  </si>
  <si>
    <t>LUA, HNK, CLN, DGT, NTD, ONT, SON, TON</t>
  </si>
  <si>
    <t>LUC, HNK, CLN, DGT, NTD, ONT, SON</t>
  </si>
  <si>
    <t>LUC, HNK, CLN, DGT, NTD, ONT, SON, TON</t>
  </si>
  <si>
    <t>TBĐ 02</t>
  </si>
  <si>
    <t>Xy=590440.326,1177045.241</t>
  </si>
  <si>
    <t>Xy=589937.717,1176801.347</t>
  </si>
  <si>
    <t>LUC, SKC, ONT</t>
  </si>
  <si>
    <t>LUA, HNK, CLN, NTS, DGT, DTL, DGD, ONT, SON</t>
  </si>
  <si>
    <t>Xy=590655.226,1177592.585</t>
  </si>
  <si>
    <t>LUC, CLN, ONT</t>
  </si>
  <si>
    <t>Xy=589365.011,1178243.996</t>
  </si>
  <si>
    <t>Xy=588875.465,1177474.696</t>
  </si>
  <si>
    <t>LUC, SKN</t>
  </si>
  <si>
    <t>Xy=587154.704,1177102.300</t>
  </si>
  <si>
    <t>Long Thượng, Phước Hậu</t>
  </si>
  <si>
    <t>LUA, HNK, CLN,  ONT, NTS, DGT</t>
  </si>
  <si>
    <t>LUC, HNK, CLN, NKH, ONT</t>
  </si>
  <si>
    <t>LUC, HNK, CLN,  ONT, NTS, DGT</t>
  </si>
  <si>
    <t>Xy=592348.599,1176028.831</t>
  </si>
  <si>
    <t>LUA, HNK, CLN, NKH, ONT</t>
  </si>
  <si>
    <t xml:space="preserve">LUC, HNK, CLN, DGT, ONT, SON, </t>
  </si>
  <si>
    <t>Xy=593483.945,1176119.393</t>
  </si>
  <si>
    <t>LUA, HNK, CLN, NKH, ONT, NTS, DHT</t>
  </si>
  <si>
    <t>LUC, HNK, CLN, NKH, ONT, NTS, DGT</t>
  </si>
  <si>
    <t>Xy=593266.933,1177881.189</t>
  </si>
  <si>
    <t>Xy=593120.727,1176153.285</t>
  </si>
  <si>
    <t>Xy=593525.698,1178531.147</t>
  </si>
  <si>
    <t>Xy=592818.861,1176917.119</t>
  </si>
  <si>
    <t>LUA, HNK, CLN,  ONT, NTS, DHT</t>
  </si>
  <si>
    <t>Xy=593799.416,1176711.990</t>
  </si>
  <si>
    <t>CLN, DGT, ONT, SON</t>
  </si>
  <si>
    <t>Xy=605107.369,1174581.638</t>
  </si>
  <si>
    <t>HNK, CLN, NTS, SON</t>
  </si>
  <si>
    <t>Xy=603552.151,1176077.820</t>
  </si>
  <si>
    <t>CLN, NTS, DGT, NTD</t>
  </si>
  <si>
    <t>LUA, HNK, CLN, NTS, DGT, DGD, DSH, NTD, ONT, SON,SKC, TMD, TIN</t>
  </si>
  <si>
    <t>Xy=604226.505,1177233.785</t>
  </si>
  <si>
    <t>LUA, HNK, CLN, SKC</t>
  </si>
  <si>
    <t>Xy=603112.058,1176589.448</t>
  </si>
  <si>
    <t>Xy=606598.072,1175337.415</t>
  </si>
  <si>
    <t>CLN, SON</t>
  </si>
  <si>
    <t>Xy=607198.538,1175536.371</t>
  </si>
  <si>
    <t>Xy=607240.707,1175553.763</t>
  </si>
  <si>
    <t>Xy=603574.778,1176611.020</t>
  </si>
  <si>
    <t>NTS, DGT, ONT, SON</t>
  </si>
  <si>
    <t>Xy=606867.100,1174823.100</t>
  </si>
  <si>
    <t>Xy=604476.454,1176677.280</t>
  </si>
  <si>
    <t>CLN, NTS, DGT, ONT</t>
  </si>
  <si>
    <t>TBĐ 2, 6, 7</t>
  </si>
  <si>
    <t>Xy=605930.757,1174153.811</t>
  </si>
  <si>
    <t>LUK, CLN, NTS, DGT, NTD, ONT</t>
  </si>
  <si>
    <t>LUA, HNK, CLN, NTS, DGT, DGD, DSH, NTD, ONT, SON</t>
  </si>
  <si>
    <t>Xy=603989.669,1175008.100</t>
  </si>
  <si>
    <t>LUA, HNK, CLN, NTS, DHT, ONT, SON,SKC, TMD</t>
  </si>
  <si>
    <t>CLN, NTS, SKC, DGT, NTD</t>
  </si>
  <si>
    <t>LUA, HNK, CLN, NTS, DGT, DGD, DSH, NTD, ONT, SON,SKC, TMD</t>
  </si>
  <si>
    <t>Xy=602924.090,1175279.160</t>
  </si>
  <si>
    <t>HNK, NTS, DGT, NTD</t>
  </si>
  <si>
    <t>LUA, HNK, CLN, NTS, DGT, DGD, DSH, NTD, ONT, SON, TIN, TON</t>
  </si>
  <si>
    <t>Xy=603378.629,1175366.014</t>
  </si>
  <si>
    <t>LUA, HNK, CLN, NTS, DHT, ONT, SON, SKC, TMD, TIN</t>
  </si>
  <si>
    <t>HNK, CLN, NTS, NTD, ONT, TIN</t>
  </si>
  <si>
    <t>LUA, HNK, CLN, NTS, DGT, DTL, DGD, DSH, NTD, ONT, SON,SKC, TMD, TIN, TON, DNL</t>
  </si>
  <si>
    <t>Xy=601658.597,1176517.840</t>
  </si>
  <si>
    <t>CLN, NTS, DGT, ONT, SON</t>
  </si>
  <si>
    <t>Xy=605025.049,1173709.969</t>
  </si>
  <si>
    <t>Xy=598907.963,1165382.539</t>
  </si>
  <si>
    <t>TMD, ONT, SON, DHT,SON, CLN</t>
  </si>
  <si>
    <t>TMD, ONT, SON</t>
  </si>
  <si>
    <t>TMD, ONT, SON, DGT,SON, CLN</t>
  </si>
  <si>
    <t>Xy=598452.744,1165759.460</t>
  </si>
  <si>
    <t>LUA, HNK, CLN, NTS,  DHT, ONT, SON, TIN, TSC</t>
  </si>
  <si>
    <t>LUC, LUK, HNK, CLN, NTS, TMD, DGT, ONT, SON</t>
  </si>
  <si>
    <t>Phước Lại, Phước Vĩnh Tây, Phước Vĩnh Đông, Tân Tập</t>
  </si>
  <si>
    <t>TBĐ 7, 35, 52; 3; 3, 4, 5, 6; 1, 4</t>
  </si>
  <si>
    <t>Xy=604798.526,1170202.682</t>
  </si>
  <si>
    <t>LUC, LUK, CLN, NTS, DGT, NTD, ONT, SON</t>
  </si>
  <si>
    <t>Xy=604159.127,1169364.595</t>
  </si>
  <si>
    <t>LUA, HNK, CLN, NTS,  DGT, DTL, DGD, DSH, ONT, SON, NTD, TON, TIN, TSC, DYT, DBV, DNL, DVH, DCH, DTT</t>
  </si>
  <si>
    <t>Xy=604478.310,1167812.980</t>
  </si>
  <si>
    <t>LUC, LUK, CLN, NTS, DGT, ONT, SON</t>
  </si>
  <si>
    <t>LUA, HNK, CLN, NTS, SKC, TMD, DGT, DTL, DGD, DSH, ONT, SON, TON, TIN, NTD</t>
  </si>
  <si>
    <t>Xy=605200.143,1165344.916</t>
  </si>
  <si>
    <t>LUA, HNK, CLN, NTS, DHT, ONT, SON, NTD, TIN, TSC</t>
  </si>
  <si>
    <t>LUC, LUK, CLN, NTS, DGT, DBV, TON, ONT, TSC, SON</t>
  </si>
  <si>
    <t>Xy=602200.599,1171898.879</t>
  </si>
  <si>
    <t>LUA, HNK, CLN, NTS, TMD, DHT, ONT, SON</t>
  </si>
  <si>
    <t>LUC, CLN, NTS, ONT, SON</t>
  </si>
  <si>
    <t>LUA, HNK, CLN, NTS, TMD, DGT, ONT, SON, NTD</t>
  </si>
  <si>
    <t>Xy=601786.716,1171574.394</t>
  </si>
  <si>
    <t>LUA, HNK, CLN, NTS, TMD, DGT, ONT, SON, NTD, TON, DVH</t>
  </si>
  <si>
    <t>Xy=603606.169,1173162.319</t>
  </si>
  <si>
    <t>LUA, CLN, NTS, DHT, ONT, TIN, SON</t>
  </si>
  <si>
    <t>Phước Lại, Phước Vĩnh Tây</t>
  </si>
  <si>
    <t>TBĐ 35, 51, 52; TBĐ 3</t>
  </si>
  <si>
    <t>LUA, CLN, NTS, DGT, NTD, ONT, TIN, SON</t>
  </si>
  <si>
    <t>LUC, CLN, NTS, DGT, NTD, ONT, TIN, SON</t>
  </si>
  <si>
    <t>Xy=603956.496,1171891.626</t>
  </si>
  <si>
    <t>HNK, CLN, ONT, SON</t>
  </si>
  <si>
    <t>Xy=603795.986,1170382.009</t>
  </si>
  <si>
    <t>LUA, HNK, CLN, NTS, ONT, SON, DHT</t>
  </si>
  <si>
    <t>LUK; HNK; DGTT; NTD; ONT</t>
  </si>
  <si>
    <t>LUA, HNK, CLN, NTS, NTD, ONT, SON, DGT</t>
  </si>
  <si>
    <t>Xy=604735.909,1164833.907</t>
  </si>
  <si>
    <t>HNK, NTS, DGT, NTD, ONT, SON</t>
  </si>
  <si>
    <t>Xy=605360.586,1164714.541</t>
  </si>
  <si>
    <t>HNK, NTS, ONT</t>
  </si>
  <si>
    <t>Xy=607226.017,1170048.158</t>
  </si>
  <si>
    <t>LUK, CLN, NTS, NTD, ONT</t>
  </si>
  <si>
    <t>Xy=607605.529,1170236.373</t>
  </si>
  <si>
    <t>Để d tích là 10,5</t>
  </si>
  <si>
    <t>LUK, CLN, NTS, ONT, SON</t>
  </si>
  <si>
    <t>Xy=607817.090,1170444.551</t>
  </si>
  <si>
    <t>LUK, CLN, NTS, ONT</t>
  </si>
  <si>
    <t>Xy=607853.360,1170791.758</t>
  </si>
  <si>
    <t>Xy=607024.132,1169492.211</t>
  </si>
  <si>
    <t>Phước Vĩnh Tây, Đông Thạnh</t>
  </si>
  <si>
    <t>TBĐ 07, 08, 11; 1,2, 3, 4, 5, 7</t>
  </si>
  <si>
    <t>TBĐ 07, 08, 11</t>
  </si>
  <si>
    <t>Xy=602568.638,1166177.382</t>
  </si>
  <si>
    <t>LUA, HNK, CLN, NTS, NTD, ONT, SON, DGT, DGD, DSH</t>
  </si>
  <si>
    <t>Tờ 1, 2, 3, 4, 5, 7</t>
  </si>
  <si>
    <t>LUA, HNK, CLN, NTS, NKH, SKC, DHT, ONT, SON</t>
  </si>
  <si>
    <t>Mỹ Lộc, Phước Lâm, Thuận Thành</t>
  </si>
  <si>
    <t>TBĐ 6, 7, 11, 10, 16, 17; TBĐ 2, 5, 6 PL</t>
  </si>
  <si>
    <t>LUA, HNK, CLN, NTS, SKC, TMD, DGT, NTD, ONT, SON</t>
  </si>
  <si>
    <t>LUC, HNK, CLN, NTS, SKC, DGT, NTD, ONT, SON</t>
  </si>
  <si>
    <t>TBĐ 6, 7, 11, 10, 16, 17</t>
  </si>
  <si>
    <t>Xy=595917.875,1171021.363</t>
  </si>
  <si>
    <t>LUA, HNK, CLN, DGT, TON, NTD, ONT, TIN, SON</t>
  </si>
  <si>
    <t>LUC, HNK, CLN, DGT, TON, NTD, ONT, TIN, SON</t>
  </si>
  <si>
    <t>Xy=595703.766,1170707.082</t>
  </si>
  <si>
    <t>LUA, HNK, CLN, NTS, NKH, SKC, DGT, DYT, TON, NTD, ONT, SON</t>
  </si>
  <si>
    <t>LUC, HNK, CLN, NTS, NKH, SKC, DGT, DYT, TON, NTD, ONT, SON</t>
  </si>
  <si>
    <t>Xy=594906.411,1168834.883</t>
  </si>
  <si>
    <t>Mỹ Lộc, TT Cần Giuộc</t>
  </si>
  <si>
    <t>TBĐ 6, 7, 11, 10, 16, 17; TBĐ 81</t>
  </si>
  <si>
    <t>LUC, HNK, NTS, NTD, ONT</t>
  </si>
  <si>
    <t>Xy=597635.154,1173945.131</t>
  </si>
  <si>
    <t>LUA, CLN, NTS, SON</t>
  </si>
  <si>
    <t>LUC, CLN, NTS, SON</t>
  </si>
  <si>
    <t>TBĐ 81</t>
  </si>
  <si>
    <t>Xy=597941.940,1174321.717</t>
  </si>
  <si>
    <t>TBĐ  11, 10, 16, 17</t>
  </si>
  <si>
    <t>Xy=597198.202,1172426.370</t>
  </si>
  <si>
    <t>LUA, HNK, CLN, DHT, ONT, TIN, SON</t>
  </si>
  <si>
    <t>Xy=596771.553,1171748.244</t>
  </si>
  <si>
    <t>LUA, CLN, ONT</t>
  </si>
  <si>
    <t>Xy=594938.734,1168494.858</t>
  </si>
  <si>
    <t>LUA, CLN, HNK, DHT, ONT</t>
  </si>
  <si>
    <t>HNK, NTD, ONT</t>
  </si>
  <si>
    <t>LUA, CLN, HNK, NTD, ONT</t>
  </si>
  <si>
    <t>Xy=596963.879,1167217.660</t>
  </si>
  <si>
    <t>HNK, CLN, ONT</t>
  </si>
  <si>
    <t>Xy=597102.345,1167049.416</t>
  </si>
  <si>
    <t>Khu TĐC, dân cư</t>
  </si>
  <si>
    <t>Xy=602806.503,177444.724</t>
  </si>
  <si>
    <t>Xy=605510.32,1168791.82</t>
  </si>
  <si>
    <t>DGD, DSH</t>
  </si>
  <si>
    <t>Xy=587521.653,1177041.510</t>
  </si>
  <si>
    <t>Xy=591433.139,1176427.629</t>
  </si>
  <si>
    <t>Xy=589814.954,1177365.818</t>
  </si>
  <si>
    <t>Xy=589637.686,1177338.975</t>
  </si>
  <si>
    <t>Xy=588476.573,1175689.403</t>
  </si>
  <si>
    <t>Xy=591022.727,1177471.978</t>
  </si>
  <si>
    <t>Xy=589513.375,1177289.097</t>
  </si>
  <si>
    <t>HNK, NTD</t>
  </si>
  <si>
    <t>Xy=589251.729,1177884.046</t>
  </si>
  <si>
    <t>Xy=592508.165,1176883.475</t>
  </si>
  <si>
    <t>LUA, DTT</t>
  </si>
  <si>
    <t>LUC, DTT</t>
  </si>
  <si>
    <t>Xy=592484.000,1176808.006</t>
  </si>
  <si>
    <t>Xy=594795.371,1173823.244</t>
  </si>
  <si>
    <t>Xy=594057.162,1175866.669</t>
  </si>
  <si>
    <t>Xy=593935.164,1176211.135</t>
  </si>
  <si>
    <t>DGT, NTD, ONT</t>
  </si>
  <si>
    <t>LUK, HNK, CLN</t>
  </si>
  <si>
    <t>LUA, LUK, HNK, CLN</t>
  </si>
  <si>
    <t>LUC, LUK, HNK, CLN</t>
  </si>
  <si>
    <t>Dự án phát triển nhà ở khu dân cư khu vực đất công Trại Dừa</t>
  </si>
  <si>
    <t>Xy=602599.597,1176781.585</t>
  </si>
  <si>
    <t>Chuyển mục đích cho các hộ gia đình cá nhân trên địa bàn huyện (dự trữ)</t>
  </si>
  <si>
    <t>huyện Cần Giuộc</t>
  </si>
  <si>
    <t>LUA, HNK, DHT, ODT, CLN</t>
  </si>
  <si>
    <t>LUC, HNK, DGT, NTD, ODT</t>
  </si>
  <si>
    <t>LUC, HNK, DGT, NTD, ODT, CLN</t>
  </si>
  <si>
    <t>Xy=599546.905,1175870.420</t>
  </si>
  <si>
    <t>HNK, ODT</t>
  </si>
  <si>
    <t>Xy=599659.544,1172026.255</t>
  </si>
  <si>
    <t>Xy=600151.660,1175688.252</t>
  </si>
  <si>
    <t>LUA, HNK, CLN, ODT, SON, DHT</t>
  </si>
  <si>
    <t>LUC, HNK, CLN, ODT, SON, DGT</t>
  </si>
  <si>
    <t>Xy=600297.194,1172918.886</t>
  </si>
  <si>
    <t>LUA, HNK, ODT, SON, DHT</t>
  </si>
  <si>
    <t>LUC, HNK, ODT, SON</t>
  </si>
  <si>
    <t>LUA, HNK, ODT, SON, NTD</t>
  </si>
  <si>
    <t>Xy=598659.247,1173731.343</t>
  </si>
  <si>
    <t>LUA, HNK, CLN, ODT, SON, DHT, TIN</t>
  </si>
  <si>
    <t>LUC, HNK, CLN, ODT, SON, DGT, DGD, DSH, TIN, NTD</t>
  </si>
  <si>
    <t>Xy=598510.715,1174543.579</t>
  </si>
  <si>
    <t>LUA, HNK, CLN, SKC, DHT, ODT</t>
  </si>
  <si>
    <t>LUC, LUK, HNK, CLN, SKC, DGT, ODT</t>
  </si>
  <si>
    <t>Xy=599497.630,1172826.240</t>
  </si>
  <si>
    <t>LUA, HNK, ODT, SON, NTS</t>
  </si>
  <si>
    <t>LUC, HNK, ODT</t>
  </si>
  <si>
    <t>Xy=598482.212,1173751.833</t>
  </si>
  <si>
    <t>Xy=599276.700,1173211.580</t>
  </si>
  <si>
    <t>Xy=600051.809,1172992.686</t>
  </si>
  <si>
    <t>Xy=600032.948,1172198.454</t>
  </si>
  <si>
    <t>Xy=600678.760,1172941.649</t>
  </si>
  <si>
    <t>Xy=600439.199,1173416.073</t>
  </si>
  <si>
    <t>Xy=600558.692,1173187.877</t>
  </si>
  <si>
    <t>Xy=600466.628,1172942.056</t>
  </si>
  <si>
    <t>Xy=600132.736,1172868.064</t>
  </si>
  <si>
    <t>Xy=600684.725,1173317.874</t>
  </si>
  <si>
    <t>Xy=598599.618,1171215.939</t>
  </si>
  <si>
    <t>Xy=599275.240,1176383.308</t>
  </si>
  <si>
    <t>Xy=599624.557,1175656.606</t>
  </si>
  <si>
    <t>Xy=600145.720,1172980.222</t>
  </si>
  <si>
    <t>Rạch Phú Châu</t>
  </si>
  <si>
    <t>Xy=600416.81,1173274.62</t>
  </si>
  <si>
    <t>Xy=600424.374,1173343.223</t>
  </si>
  <si>
    <t>Xy=600587.168,1173356.677</t>
  </si>
  <si>
    <t>Xy=600647.473,1173402.245</t>
  </si>
  <si>
    <t>Xy=600694.018,1173160.710</t>
  </si>
  <si>
    <t>Xy=598449.113,1174521.776</t>
  </si>
  <si>
    <t>Xy=600355.036,1172540.476</t>
  </si>
  <si>
    <t>Xy=598823.580,1176096.018</t>
  </si>
  <si>
    <t>Xy=600054.561,1173088.090</t>
  </si>
  <si>
    <t>Xy=599095.280,1172780.800</t>
  </si>
  <si>
    <t>Xy=599106.342,1172775.160</t>
  </si>
  <si>
    <t>LUA, DGD, DSH</t>
  </si>
  <si>
    <t>LUC, DGD, DSH</t>
  </si>
  <si>
    <t>Xy=600260.946,1174042.548</t>
  </si>
  <si>
    <t>Xy=599270.088,1172623.379</t>
  </si>
  <si>
    <t>Xy=599390.174,1172608.531</t>
  </si>
  <si>
    <t>DGT, ODT, SON</t>
  </si>
  <si>
    <t>Xy=600140.810,1172766.740</t>
  </si>
  <si>
    <t>Xy=600780.956,1164940.113</t>
  </si>
  <si>
    <t>Xy=593558.732,1176640.105</t>
  </si>
  <si>
    <t>Xy=601396.899,1173440.576</t>
  </si>
  <si>
    <t>Xy=596520.566,1172926.469</t>
  </si>
  <si>
    <t>Xy=599569.064,1172236.127</t>
  </si>
  <si>
    <t>Xy=599564.720,1172216.776</t>
  </si>
  <si>
    <t>Xy=600668.475,1173306.958</t>
  </si>
  <si>
    <t>Xy=598669.870,1171273.651</t>
  </si>
  <si>
    <t>Xy=599758.751,1172266.963</t>
  </si>
  <si>
    <t>Xy=599529.953,1172178.805</t>
  </si>
  <si>
    <t>Xy=599817.449,1172024.225</t>
  </si>
  <si>
    <t>Xy=598770.334,1173526.197</t>
  </si>
  <si>
    <t>Xy=599344.615,1176462.960</t>
  </si>
  <si>
    <t>Xy=591450.270,1176446.916</t>
  </si>
  <si>
    <t>Xy=588109.394,1176310.676</t>
  </si>
  <si>
    <r>
      <t xml:space="preserve">TBĐ 2, 3, 4 Tân Tập; TBĐ 5,6 </t>
    </r>
    <r>
      <rPr>
        <sz val="15"/>
        <rFont val="Times New Roman"/>
        <family val="1"/>
        <charset val="163"/>
      </rPr>
      <t>Phước Vĩnh Đông</t>
    </r>
  </si>
  <si>
    <t>Mã KH</t>
  </si>
  <si>
    <t>Trụ sở công an xã Đông Thạnh</t>
  </si>
  <si>
    <t>BHK, LUC, ONT</t>
  </si>
  <si>
    <t>Thửa 3337, 3338, 3339, 1394(mpt), TBĐ 04</t>
  </si>
  <si>
    <t>Bổ sung</t>
  </si>
  <si>
    <t>thửa đất 335, 476, 477, 478, 480, 481 TBĐ 02</t>
  </si>
  <si>
    <t>Đấu giá quyền sử dụng đất công (các thửa đất 335, 476, 477, 478, 480, 481, TBĐ 02)</t>
  </si>
  <si>
    <t>Xy=593932.734,1175861.852</t>
  </si>
  <si>
    <t>Các công trình, dự án còn lại</t>
  </si>
  <si>
    <t>Công trình, dự án mục đích quốc phòng, an ninh</t>
  </si>
  <si>
    <t>i</t>
  </si>
  <si>
    <t>Công trình, dự án trong kế hoạch sử dụng đất cấp tỉnh</t>
  </si>
  <si>
    <t>Công trình, dự án để phát triển kinh tế, xã hội vì lợi ích quốc gia, công cộng</t>
  </si>
  <si>
    <t>1.2.1</t>
  </si>
  <si>
    <t>1.2.2</t>
  </si>
  <si>
    <t>Công trình, dự án do Thủ tướng Chính phủ chấp thuận, quyết định đầu tư mà phải thu hồi đất</t>
  </si>
  <si>
    <t>Công trình, dự án quan trọng quốc gia do Quốc hội quyết định chủ trương đầu tư mà phải thu hồi</t>
  </si>
  <si>
    <t>Công trình, dự án do Hội dồng nhân dân cấp tỉnh chấp thuận mà phải thu hồi đất</t>
  </si>
  <si>
    <t>2.1.1</t>
  </si>
  <si>
    <t>2.1.2</t>
  </si>
  <si>
    <t>2.1.3</t>
  </si>
  <si>
    <t>2.1.4</t>
  </si>
  <si>
    <t>2.1.5</t>
  </si>
  <si>
    <t>2.1.6</t>
  </si>
  <si>
    <t>2.1.7</t>
  </si>
  <si>
    <t>2.1.8</t>
  </si>
  <si>
    <t>2.1.9</t>
  </si>
  <si>
    <t>2.1.10</t>
  </si>
  <si>
    <t>2.1.11</t>
  </si>
  <si>
    <t>2.1.12</t>
  </si>
  <si>
    <t>2.1.13</t>
  </si>
  <si>
    <t>2.1.14</t>
  </si>
  <si>
    <t>2.1.15</t>
  </si>
  <si>
    <t>2.1.16</t>
  </si>
  <si>
    <t>Công trình, dự án chuyển mục đích sử dụng đất</t>
  </si>
  <si>
    <t>2.2.1</t>
  </si>
  <si>
    <t>2.2.2</t>
  </si>
  <si>
    <t>Các khu vực sử dụng đất khác</t>
  </si>
  <si>
    <t>2.3.1</t>
  </si>
  <si>
    <t>Khu vực cấp GCN quyền sử dụng đất</t>
  </si>
  <si>
    <t>2.3.2</t>
  </si>
  <si>
    <t>Khu vực đấu giá quyền sử dụng đất</t>
  </si>
  <si>
    <t>2.2.3</t>
  </si>
  <si>
    <t>2.2.4</t>
  </si>
  <si>
    <t>Đấu giá cho thuê mặt nước (Bến cảng dầu khí)</t>
  </si>
  <si>
    <t>Đấu giá Bến phà Cần Giuộc - Cần Giờ (TP HCM)</t>
  </si>
  <si>
    <t>Công trình nạo vét Rạch khu vực Chùa Phước Thiện (khu vực 2)</t>
  </si>
  <si>
    <t>Cửa hàng kinh doanh xăng dầu</t>
  </si>
  <si>
    <t>Nhà kho chứa hàng</t>
  </si>
  <si>
    <t>Đường Liên ấp 4-3, kết nối đường từ đường Lò Rèn đến Đường ấp 3</t>
  </si>
  <si>
    <t>Nghĩa trang xã Long Phụng</t>
  </si>
  <si>
    <t>TBĐ 04, 05</t>
  </si>
  <si>
    <t>Thửa 697 TBĐ 5</t>
  </si>
  <si>
    <t>Thửa 1368 (mpt) TBĐ 04</t>
  </si>
  <si>
    <t>Thửa 22, TBĐ 16</t>
  </si>
  <si>
    <t xml:space="preserve">TT Cần Giuộc </t>
  </si>
  <si>
    <t>Cấp GCN Trường tiểu học Lộc Tiền (ấp Kế Mỹ)</t>
  </si>
  <si>
    <t>Xưởng may mặc (Nguyễn Thanh Hùng)</t>
  </si>
  <si>
    <t>Công trình chuyển tiếp</t>
  </si>
  <si>
    <t>Công trình đăng ký mới</t>
  </si>
  <si>
    <t>Dự án đăng ký mới</t>
  </si>
  <si>
    <t>Dự án chuyển tiếp</t>
  </si>
  <si>
    <t>HỆ THỐNG BIỂU TRONG KẾ HOẠCH SỬ DỤNG ĐẤT NĂM 2025</t>
  </si>
  <si>
    <t>(Ban hành kèm theo Thông tư số …/2024/TT-BTNMT ngày …/…/năm 2024 
của Bộ trưởng Bộ Tài nguyên và Môi trường )</t>
  </si>
  <si>
    <t>Hiện trạng sử dụng đất năm 2024 huyện Cần Giuộc, tỉnh Long An</t>
  </si>
  <si>
    <t>Biểu 05/CH</t>
  </si>
  <si>
    <t>Kế hoạch sử dụng đất năm 2025 huyện Cần Giuộc, tỉnh Long An</t>
  </si>
  <si>
    <t>Kế hoạch chuyển mục đích sử dụng đất năm 2025 huyện Cần Giuộc, tỉnh Long An</t>
  </si>
  <si>
    <t>Danh mục các công trình, dự án thực hiện trong năm 2025 huyện Cần Giuộc, tỉnh Long An</t>
  </si>
  <si>
    <t>Biểu 09/CH</t>
  </si>
  <si>
    <t>Chu chuyển đất đai trong kế hoạch sử dụng đất năm 2025 huyện Cần Giuộc, tỉnh Long An</t>
  </si>
  <si>
    <t>HIỆN TRẠNG SỬ DỤNG ĐẤT NĂM 2024</t>
  </si>
  <si>
    <t>KẾ HOẠCH SỬ DỤNG ĐẤT NĂM 2025</t>
  </si>
  <si>
    <t>KẾ HOẠCH CHUYỂN MỤC ĐÍCH SỬ DỤNG ĐẤT NĂM 2025</t>
  </si>
  <si>
    <t>BIỂU 09/CH</t>
  </si>
  <si>
    <t>CHU CHUYỂN ĐẤT ĐAI TRONG KẾ HOẠCH SỬ DỤNG ĐẤT ĐAI NĂM 2025</t>
  </si>
  <si>
    <t>Kết quả thực hiện đến 31/12/2024</t>
  </si>
  <si>
    <t>Diện tích cuối kỳ năm 2025</t>
  </si>
  <si>
    <t>Diện tích năm 2024</t>
  </si>
  <si>
    <t>Đất chuyên trồng lúa</t>
  </si>
  <si>
    <t>Đất trồng lúa còn lại</t>
  </si>
  <si>
    <t>Đất trồng cây hằng năm khác</t>
  </si>
  <si>
    <t>1.10</t>
  </si>
  <si>
    <t>Đất chăn nuôi tập trung</t>
  </si>
  <si>
    <t>CNT</t>
  </si>
  <si>
    <t>Đất xây dựng công trình sự nghiệp</t>
  </si>
  <si>
    <t>Đất xây dựng cơ sở xã hội</t>
  </si>
  <si>
    <t>Đất xây dựng cơ sở thể dục, thể thao</t>
  </si>
  <si>
    <t>Đất xây dựng cơ sở môi trường</t>
  </si>
  <si>
    <t>Đất xây dựng cơ sở khí tượng thủy văn</t>
  </si>
  <si>
    <t>Đất sản xuất, kinh doanh phi nông nghiệp</t>
  </si>
  <si>
    <t>Đất khu công nghệ thông tin tập trung</t>
  </si>
  <si>
    <t>Đất sử dụng vào mục đích công cộng</t>
  </si>
  <si>
    <t>Đất công trình giao thông</t>
  </si>
  <si>
    <t>Đất công trình thủy lợi</t>
  </si>
  <si>
    <t>Đất công trình cấp nước, thoát nước</t>
  </si>
  <si>
    <t>Đất công trình phòng, chống thiên tai</t>
  </si>
  <si>
    <t>Đất có di tích lịch sử - văn hóa danh lam thắng cảnh, di sản thiên nhiên</t>
  </si>
  <si>
    <t>Đất công trình xử lý chất thải</t>
  </si>
  <si>
    <t>Đất công trình năng lượng, chiếu sáng công cộng</t>
  </si>
  <si>
    <t>Đất công trình hạ tầng bưu chính, viễn thông, công nghệ thông tin</t>
  </si>
  <si>
    <t>Đất chợ dân sinh, chợ đầu mối</t>
  </si>
  <si>
    <t>Đất khu vui chơi, giải trí công cộng, sinh hoạt cộng đồng</t>
  </si>
  <si>
    <t>Đất tôn giáo</t>
  </si>
  <si>
    <t>Đất tín ngưỡng</t>
  </si>
  <si>
    <t>Đất nghĩa trang, nhà tang lễ, cơ sở hỏa táng; đất cơ sở lưu giữ tro cốt</t>
  </si>
  <si>
    <t>Đất do Nhà nước thu hồi theo quy định của pháp luật đất đai chưa giao, chưa cho thuê</t>
  </si>
  <si>
    <t>Đất có mặt nước chưa sử dụng</t>
  </si>
  <si>
    <t>3.1</t>
  </si>
  <si>
    <t>3.2</t>
  </si>
  <si>
    <t>3.3</t>
  </si>
  <si>
    <t>3.4</t>
  </si>
  <si>
    <t>3.5</t>
  </si>
  <si>
    <t>DMT</t>
  </si>
  <si>
    <t>DKT</t>
  </si>
  <si>
    <t>SCT</t>
  </si>
  <si>
    <t>DCT</t>
  </si>
  <si>
    <t>DPC</t>
  </si>
  <si>
    <t>DDD</t>
  </si>
  <si>
    <t>CGT</t>
  </si>
  <si>
    <t>MCS</t>
  </si>
  <si>
    <t>Khu sản xuất nông nghiệp</t>
  </si>
  <si>
    <t>Khu lâm nghiệp</t>
  </si>
  <si>
    <t>Khu bảo tổn thiên nhiên và đa dạng sinh học</t>
  </si>
  <si>
    <t>Khu phát triển công nghiệp</t>
  </si>
  <si>
    <t>Khu đô thị</t>
  </si>
  <si>
    <t>DTC</t>
  </si>
  <si>
    <t>DNT</t>
  </si>
  <si>
    <t xml:space="preserve">Đất trồng lúa </t>
  </si>
  <si>
    <t xml:space="preserve">Đất trồng cây lâu năm </t>
  </si>
  <si>
    <t xml:space="preserve">Đất rừng phòng hộ </t>
  </si>
  <si>
    <t xml:space="preserve">Đất rừng đặc dụng </t>
  </si>
  <si>
    <t xml:space="preserve">Đất rừng sản xuất </t>
  </si>
  <si>
    <t>RPH/NKR(a)</t>
  </si>
  <si>
    <t>RDD/NKR(a)</t>
  </si>
  <si>
    <t>RSX/NKR(a)</t>
  </si>
  <si>
    <t>Chuyển các loại đất khác sang đất chăn nuôi tập trung khi thực hiện các dự án chăn nuôi tập trung quy mô lớn</t>
  </si>
  <si>
    <t>Chuyển đổi cơ cấu sử dụng đất trong nội bộ đất phi nông nghiệp</t>
  </si>
  <si>
    <t xml:space="preserve">Đất trồng lúa chuyển sang đất trồng cây lâu năm </t>
  </si>
  <si>
    <t xml:space="preserve">Đất rừng phòng hộ chuyển sang đất nông nghiệp không phải là rừng </t>
  </si>
  <si>
    <t xml:space="preserve">Đất rừng đặc dụng chuyển sang đất nông nghiệp không phải là rừng </t>
  </si>
  <si>
    <t xml:space="preserve">Đất rừng sản xuất chuyển sang đất nông nghiệp không phải là rừng </t>
  </si>
  <si>
    <t>4.1</t>
  </si>
  <si>
    <t>4.2</t>
  </si>
  <si>
    <t>4.3</t>
  </si>
  <si>
    <t>4.4</t>
  </si>
  <si>
    <t xml:space="preserve">Đất phi nông nghiệp không phải là đất ở chuyển sang đất ở </t>
  </si>
  <si>
    <t>Chuyển đất xây dựng công trình sự nghiệp, đất xây dựng công trình công cộng có mục đích kinh doanh sang đất sản xuất, kinh doanh phi nông nghiệp</t>
  </si>
  <si>
    <t>Chuyển đất sản xuất, kinh doanh phi nông nghiệp không phải đất thương mại, dịch vụ sang đất thương mại, dịch vụ</t>
  </si>
  <si>
    <r>
      <t xml:space="preserve">RSN/NKR </t>
    </r>
    <r>
      <rPr>
        <i/>
        <vertAlign val="superscript"/>
        <sz val="12"/>
        <rFont val="Times New Roman"/>
        <family val="1"/>
      </rPr>
      <t>(a)</t>
    </r>
  </si>
  <si>
    <t>Diện tích cuối kỳ, năm 2025</t>
  </si>
  <si>
    <t xml:space="preserve">Trong đó: đất có rừng sản xuất là rừng tự nhiên </t>
  </si>
  <si>
    <t>Đất nông nghiệp chuyển sang phi nông nghiệp</t>
  </si>
  <si>
    <t xml:space="preserve">Đất trồng lúa chuyển sang đất trồng rừng  </t>
  </si>
  <si>
    <t>Chuyển đất phi nông nghiệp được quy định tại Điều 118 sang các loại đất phi nông nghiệp quy định tại Điều 119 hoặc Điều 120 của Luật này</t>
  </si>
  <si>
    <t xml:space="preserve">Khu lâm nghiệp </t>
  </si>
  <si>
    <t xml:space="preserve">Khu phát triển công nghiệp </t>
  </si>
  <si>
    <t>TVC</t>
  </si>
  <si>
    <t>NSC</t>
  </si>
  <si>
    <t>2.13</t>
  </si>
  <si>
    <t>Thêm mới</t>
  </si>
  <si>
    <t>DANH MỤC CÔNG TRÌNH, DỰ ÁN THỰC HIỆN TRONG NĂM 2025</t>
  </si>
  <si>
    <t>Ban CHQS xã Phước Lý</t>
  </si>
  <si>
    <t>Ban chỉ huy Quân sự xã Phước Hậu</t>
  </si>
  <si>
    <t>931(mpt), TBĐ02</t>
  </si>
  <si>
    <t>Mở rộng đường tổ 12 ấp Phú Thành</t>
  </si>
  <si>
    <t>Công ty TNHH Đinh Hoàng Phong</t>
  </si>
  <si>
    <t>Đường Lại Thị Sáu</t>
  </si>
  <si>
    <t>Đường Sân Banh</t>
  </si>
  <si>
    <t>Đường Mười Cày</t>
  </si>
  <si>
    <t>Đường liên xóm ấp Long Giêng (đoạn nhà Văn hóa Long Giêng)</t>
  </si>
  <si>
    <t>Đường liên xóm ấp Long Khánh (đoạn Miếu Long Bình)</t>
  </si>
  <si>
    <t>Một phần các thửa đất 298; 1829;1827;2001;1557;598;1837;599; 600; 1761; 457; 304; 2614; ..</t>
  </si>
  <si>
    <t>Chưa có DT</t>
  </si>
  <si>
    <t>Mở rông đường kênh Cấp 3 (Phước Kế)</t>
  </si>
  <si>
    <t>Thu hồi đường liên ấp 4-3 ( kết nối đường Nguyễn Thị Bài- đường Lò Rèn</t>
  </si>
  <si>
    <t>Ấp 3, ấp 4, xã Long An</t>
  </si>
  <si>
    <t>Thu hồi mở rộng đường Trường học</t>
  </si>
  <si>
    <t>ấp 1, xã Long An</t>
  </si>
  <si>
    <t>Đường ĐT 830 E (vành đai 4)</t>
  </si>
  <si>
    <t>Đường Quốc Lộ 50B (ĐT.827E)</t>
  </si>
  <si>
    <t xml:space="preserve">Đường Nguyễn Hữu Hớn </t>
  </si>
  <si>
    <t>Mở rộng đường Kênh Sáng B</t>
  </si>
  <si>
    <t>Mở rộng đường GTNT ấp Thuận Nam (Chín Đại)</t>
  </si>
  <si>
    <t>Thu hồi mở rộng đường Ấp Tây theo NQ 69</t>
  </si>
  <si>
    <t>Ấp Tây, xã Đông Thạnh</t>
  </si>
  <si>
    <t>Thu hồi đường Liên xóm ấp Nam</t>
  </si>
  <si>
    <t>Thu hồi đường Hai Hồng - Hai Cõi</t>
  </si>
  <si>
    <t>Ấp Tân Quang 2, xã Đông Thạnh</t>
  </si>
  <si>
    <t>Đường Tân Phước</t>
  </si>
  <si>
    <t>xã Phước Vĩnh Tây</t>
  </si>
  <si>
    <t>TBĐ 07, 03</t>
  </si>
  <si>
    <t>Đường 826C 2 bên: từ chợ núi về hướng cầu ông Chuồng 1 km</t>
  </si>
  <si>
    <t>TBĐ 04</t>
  </si>
  <si>
    <t>Thu hồi mở rộng đường Truồng Học</t>
  </si>
  <si>
    <t>Thêm mới, xem lại DT với CT số 106</t>
  </si>
  <si>
    <t>Trường TH-THCS Phước Hậu</t>
  </si>
  <si>
    <t>thửa đất 335, 476, 477, 478, 480, 481 TBĐ 02; 337(mpt), 342(mpt), TBĐ 02</t>
  </si>
  <si>
    <t>QH Trường Mẫu giáo, Trường TH Phước Lâm</t>
  </si>
  <si>
    <t xml:space="preserve">Mở rộng cấp giấy trường mẫu giáo ấp Thuận Bắc </t>
  </si>
  <si>
    <t>Trường THCS Thuận Thành</t>
  </si>
  <si>
    <t>Mở rộng trường Mẫu Giáo Phước Vĩnh Tây (ấp 1)</t>
  </si>
  <si>
    <t>0,20</t>
  </si>
  <si>
    <t>1188(mpt), TBĐ 07
549 (mpt), TBĐ 07</t>
  </si>
  <si>
    <t>Mở rộng Trường THCS Nguyễn Văn Chính</t>
  </si>
  <si>
    <t>Mở rộng trường TH Phước Lý</t>
  </si>
  <si>
    <t>Trạm 110kV KCN Cầu tràm và đường dây đấu nối</t>
  </si>
  <si>
    <t xml:space="preserve">Pha dây dẫn đường dây Nhà Bè- Long Hậu điểm đấu nối vào trạm 220KV/110KV Cần Đước </t>
  </si>
  <si>
    <t>Nghĩa trang xã Phước Lý</t>
  </si>
  <si>
    <t>Dự án phát triển dân cư, đô thị</t>
  </si>
  <si>
    <t>Khu tái định cư (TĐC ĐT.827E)</t>
  </si>
  <si>
    <t>Khu dân cư Thái Sơn</t>
  </si>
  <si>
    <t>Khu dân cư Caric</t>
  </si>
  <si>
    <t>Khu dân cư nhựa Phước Thành</t>
  </si>
  <si>
    <t>Khu dân cư - tái định cư Lộc Thành</t>
  </si>
  <si>
    <t>Khu dân cư Thành Hiếu</t>
  </si>
  <si>
    <t>Khu dân cư Vĩnh Trường</t>
  </si>
  <si>
    <t>Khu dân cư (Cty XNK tổng hợp Nam Sài Gòn)</t>
  </si>
  <si>
    <t>Thêm mới (tên mới, DT gần giống CT "Khu dân cư An Long - Nam Sài Gòn")</t>
  </si>
  <si>
    <t>Tên cũ nhưng DT khác</t>
  </si>
  <si>
    <t>Khu tái định cư - Cty CP KD BĐS Phố Đông</t>
  </si>
  <si>
    <t>Khu tái định cư - Cty CP ĐT TM DV Hòa Thuận Phát</t>
  </si>
  <si>
    <t>Khu dân cư (Cty CP Phúc Long Vân)</t>
  </si>
  <si>
    <t>Công ty TNHH Khải Tâm</t>
  </si>
  <si>
    <t>QH đất thương mại dịch vụ (Nguyễn Thị Kim Hồng)</t>
  </si>
  <si>
    <t>QH đất thương mại dịch vụ (Ngô Thanh Hoàng)</t>
  </si>
  <si>
    <t>Kho chứa hàng inox - DNTN SXTMDV Lâm Sơn</t>
  </si>
  <si>
    <t>Nhà trưng bày và nhà kho chứa hàng</t>
  </si>
  <si>
    <t>Phước Hậu, Phước Lâm</t>
  </si>
  <si>
    <t>Nhà trưng bày và nhà kho chứa xăng dầu</t>
  </si>
  <si>
    <t>Nhà kho chứa hàng nông sản, sản phẩm may mặc, đồ diện máy</t>
  </si>
  <si>
    <t>Công ty inox Nhật Phi</t>
  </si>
  <si>
    <t>Công ty nhựa Châu Hưng</t>
  </si>
  <si>
    <t>Cơ sở giết mổ gia súc, gia cầm - Công ty TNHH Ngọc Sương</t>
  </si>
  <si>
    <t>Mở rộng nhà văn phòng và công trình phụ trợ phục vụ dự án hiện hữu (DNTN Nhựa Chợ Lớn)</t>
  </si>
  <si>
    <t>Sản xuất hàng thủ công mỹ nghệ (sản phẩm từ lục bình)</t>
  </si>
  <si>
    <t>BHK</t>
  </si>
  <si>
    <t>Thửa đất số: 1261, 5752, 3438, 1265; 1264; 1448; 1452; 1458; 3929; TBĐ: 02</t>
  </si>
  <si>
    <t>chuyển tiếp +Bổ sung</t>
  </si>
  <si>
    <t>Thửa đất 2335, TBĐ02</t>
  </si>
  <si>
    <t>Thửa đất 2968, TBĐ02</t>
  </si>
  <si>
    <t>Cấp GCN Trường THCS Nguyễn Văn Chính</t>
  </si>
  <si>
    <t>Thêm mới, xem lại DT so với CT số 304</t>
  </si>
  <si>
    <t xml:space="preserve">Cấp GCN Trường Mẫu giáo Phước Lý </t>
  </si>
  <si>
    <t>Cấp giấy trường Mẫu giáo Long Hậu (ấp 4)</t>
  </si>
  <si>
    <t>Nhà văn hóa ấp Trong (Cấp giấy)</t>
  </si>
  <si>
    <t>Cấp GCN Trụ sở UBND xã Phước Lý</t>
  </si>
  <si>
    <t>Cấp giấy các cơ sở tín ngưỡng trên địa bàn xã</t>
  </si>
  <si>
    <t>Bản của xã 1,7ha</t>
  </si>
  <si>
    <t>Đấu giá, thanh lý thửa đất công số 20 TBĐ 28</t>
  </si>
  <si>
    <t>Đấu giá, thanh lý đất công thửa 367 TBĐ 18</t>
  </si>
  <si>
    <t>Đấu giá, thanh lý đất công thửa 66 TBĐ 21</t>
  </si>
  <si>
    <t>Đấu giá, thanh lý đất công thửa 12 TBĐ 14</t>
  </si>
  <si>
    <t>Đấu giá, thanh lý đất công thửa 430 TBĐ 18</t>
  </si>
  <si>
    <t>Tăng (+), giảm (-) 
(ha)</t>
  </si>
  <si>
    <t>đất đã sử dụng</t>
  </si>
  <si>
    <t>Hiện trạng năm 2024</t>
  </si>
  <si>
    <t>Kế hoạch sử dụng đất năm 2025</t>
  </si>
  <si>
    <t>Khu Tái định cư 1 (TĐC Vành đai 4)</t>
  </si>
  <si>
    <t>Khu Tái định cư 2 (TĐC Vành đai 4)</t>
  </si>
  <si>
    <t>Khu Tái định cư 3 (TĐC Vành đai 4)</t>
  </si>
  <si>
    <t>Khu Tái định cư 4 (TĐC Vành đai 4)</t>
  </si>
  <si>
    <t>Khu đô thị sinh thái Cần Giuộc</t>
  </si>
  <si>
    <t>TBĐ 68, 69, 70, 78, 79, 80</t>
  </si>
  <si>
    <t>Đã thực hiện xong</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</si>
</sst>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 _₫_-;\-* #,##0.00\ _₫_-;_-* &quot;-&quot;??\ _₫_-;_-@_-"/>
    <numFmt numFmtId="164" formatCode="_(* #,##0.00_);_(* \(#,##0.00\);_(* &quot;-&quot;??_);_(@_)"/>
    <numFmt numFmtId="165" formatCode="_-* #,##0.00_-;\-* #,##0.00_-;_-* &quot;-&quot;??_-;_-@_-"/>
    <numFmt numFmtId="166" formatCode="0.0"/>
    <numFmt numFmtId="167" formatCode="#,##0.00;[Red]#,##0.00"/>
    <numFmt numFmtId="168" formatCode="_(* #,##0.00_);_(* \(#,##0.00\);_(* &quot;-&quot;&quot;?&quot;&quot;?&quot;_);_(@_)"/>
    <numFmt numFmtId="169" formatCode="#,##0.000;[Red]#,##0.000"/>
    <numFmt numFmtId="170" formatCode="0.000"/>
    <numFmt numFmtId="171" formatCode="_(* #,##0.000_);_(* \(#,##0.000\);_(* &quot;-&quot;??_);_(@_)"/>
    <numFmt numFmtId="172" formatCode="0.00000"/>
    <numFmt numFmtId="173" formatCode="0.0000"/>
    <numFmt numFmtId="174" formatCode="0_);\(0\)"/>
    <numFmt numFmtId="175" formatCode="#,##0.000"/>
    <numFmt numFmtId="176" formatCode="#,##0.0"/>
    <numFmt numFmtId="177" formatCode="_(* #,##0.00_);_(* \(#,##0.00\);_(* &quot;-&quot;_);_(@_)"/>
  </numFmts>
  <fonts count="68">
    <font>
      <sz val="11"/>
      <name val="UVnTime"/>
    </font>
    <font>
      <sz val="11"/>
      <color theme="1"/>
      <name val="Calibri"/>
      <family val="2"/>
      <charset val="163"/>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UVnTime"/>
    </font>
    <font>
      <sz val="10"/>
      <name val="Arial"/>
      <family val="2"/>
    </font>
    <font>
      <b/>
      <sz val="10"/>
      <name val="Times New Roman"/>
      <family val="1"/>
    </font>
    <font>
      <i/>
      <sz val="10"/>
      <name val="Times New Roman"/>
      <family val="1"/>
    </font>
    <font>
      <sz val="10"/>
      <name val="Times New Roman"/>
      <family val="1"/>
    </font>
    <font>
      <sz val="12"/>
      <name val="Times New Roman"/>
      <family val="1"/>
    </font>
    <font>
      <i/>
      <sz val="11"/>
      <name val="Times New Roman"/>
      <family val="1"/>
    </font>
    <font>
      <sz val="11"/>
      <name val="Times New Roman"/>
      <family val="1"/>
    </font>
    <font>
      <b/>
      <sz val="11"/>
      <name val="Times New Roman"/>
      <family val="1"/>
    </font>
    <font>
      <sz val="12"/>
      <name val=".VnTime"/>
      <family val="2"/>
    </font>
    <font>
      <b/>
      <sz val="12"/>
      <name val="Times New Roman"/>
      <family val="1"/>
    </font>
    <font>
      <b/>
      <sz val="14"/>
      <name val="Times New Roman"/>
      <family val="1"/>
    </font>
    <font>
      <b/>
      <sz val="10.5"/>
      <name val="Times New Roman"/>
      <family val="1"/>
    </font>
    <font>
      <sz val="14"/>
      <name val="Times New Roman"/>
      <family val="1"/>
    </font>
    <font>
      <sz val="14"/>
      <name val=".VnTime"/>
      <family val="2"/>
    </font>
    <font>
      <i/>
      <sz val="12"/>
      <name val="Times New Roman"/>
      <family val="1"/>
    </font>
    <font>
      <sz val="10"/>
      <name val="Arial"/>
      <family val="2"/>
      <charset val="163"/>
    </font>
    <font>
      <b/>
      <i/>
      <sz val="11"/>
      <name val="Times New Roman"/>
      <family val="1"/>
    </font>
    <font>
      <sz val="11"/>
      <color indexed="8"/>
      <name val="Arial"/>
      <family val="2"/>
    </font>
    <font>
      <b/>
      <i/>
      <sz val="10"/>
      <name val="Times New Roman"/>
      <family val="1"/>
    </font>
    <font>
      <i/>
      <sz val="10.5"/>
      <name val="Times New Roman"/>
      <family val="1"/>
    </font>
    <font>
      <sz val="11"/>
      <color theme="1"/>
      <name val="Calibri"/>
      <family val="2"/>
      <scheme val="minor"/>
    </font>
    <font>
      <b/>
      <i/>
      <sz val="12"/>
      <name val="Times New Roman"/>
      <family val="1"/>
    </font>
    <font>
      <sz val="14"/>
      <name val="Times New Roman"/>
      <family val="1"/>
      <charset val="163"/>
    </font>
    <font>
      <i/>
      <sz val="14"/>
      <name val="Times New Roman"/>
      <family val="1"/>
    </font>
    <font>
      <b/>
      <i/>
      <sz val="14"/>
      <name val="Times New Roman"/>
      <family val="1"/>
    </font>
    <font>
      <i/>
      <sz val="10"/>
      <color rgb="FFFF0000"/>
      <name val="Times New Roman"/>
      <family val="1"/>
    </font>
    <font>
      <sz val="11"/>
      <color theme="1"/>
      <name val="Calibri"/>
      <family val="2"/>
      <charset val="163"/>
      <scheme val="minor"/>
    </font>
    <font>
      <b/>
      <sz val="13"/>
      <name val="Times New Roman"/>
      <family val="1"/>
    </font>
    <font>
      <sz val="13"/>
      <name val="Times New Roman"/>
      <family val="1"/>
    </font>
    <font>
      <i/>
      <vertAlign val="superscript"/>
      <sz val="12"/>
      <name val="Times New Roman"/>
      <family val="1"/>
    </font>
    <font>
      <b/>
      <sz val="18"/>
      <name val="Times New Roman"/>
      <family val="1"/>
    </font>
    <font>
      <sz val="18"/>
      <name val="Calibri"/>
      <family val="2"/>
      <scheme val="minor"/>
    </font>
    <font>
      <sz val="18"/>
      <name val="Times New Roman"/>
      <family val="1"/>
    </font>
    <font>
      <b/>
      <sz val="18"/>
      <name val="Calibri"/>
      <family val="2"/>
      <scheme val="minor"/>
    </font>
    <font>
      <sz val="15"/>
      <name val="Times New Roman"/>
      <family val="1"/>
    </font>
    <font>
      <b/>
      <sz val="15"/>
      <name val="Times New Roman"/>
      <family val="1"/>
    </font>
    <font>
      <b/>
      <i/>
      <sz val="15"/>
      <name val="Times New Roman"/>
      <family val="1"/>
    </font>
    <font>
      <i/>
      <sz val="11"/>
      <name val="Calibri"/>
      <family val="2"/>
      <scheme val="minor"/>
    </font>
    <font>
      <i/>
      <sz val="15"/>
      <name val="Times New Roman"/>
      <family val="1"/>
    </font>
    <font>
      <sz val="16"/>
      <name val="Times New Roman"/>
      <family val="1"/>
    </font>
    <font>
      <sz val="11"/>
      <name val="Calibri"/>
      <family val="2"/>
      <scheme val="minor"/>
    </font>
    <font>
      <b/>
      <sz val="11"/>
      <name val="Calibri"/>
      <family val="2"/>
      <scheme val="minor"/>
    </font>
    <font>
      <sz val="14"/>
      <name val="Calibri"/>
      <family val="2"/>
      <scheme val="minor"/>
    </font>
    <font>
      <b/>
      <i/>
      <sz val="11"/>
      <name val="Calibri"/>
      <family val="2"/>
      <scheme val="minor"/>
    </font>
    <font>
      <sz val="15"/>
      <name val="Times New Roman"/>
      <family val="1"/>
      <charset val="163"/>
    </font>
    <font>
      <sz val="15"/>
      <name val="Calibri"/>
      <family val="2"/>
      <scheme val="minor"/>
    </font>
    <font>
      <sz val="11"/>
      <color rgb="FFFF0000"/>
      <name val="Times New Roman"/>
      <family val="1"/>
    </font>
    <font>
      <sz val="15"/>
      <color rgb="FFFF0000"/>
      <name val="Times New Roman"/>
      <family val="1"/>
    </font>
    <font>
      <sz val="11"/>
      <color rgb="FFFF0000"/>
      <name val="Calibri"/>
      <family val="2"/>
      <scheme val="minor"/>
    </font>
    <font>
      <sz val="14"/>
      <color rgb="FFFF0000"/>
      <name val="Times New Roman"/>
      <family val="1"/>
    </font>
    <font>
      <b/>
      <sz val="14"/>
      <color rgb="FFFF0000"/>
      <name val="Times New Roman"/>
      <family val="1"/>
    </font>
    <font>
      <sz val="15"/>
      <color theme="1"/>
      <name val="Times New Roman"/>
      <family val="1"/>
    </font>
    <font>
      <sz val="12"/>
      <color rgb="FF000000"/>
      <name val="Times New Roman"/>
      <family val="1"/>
    </font>
    <font>
      <sz val="15"/>
      <color rgb="FF000000"/>
      <name val="Times New Roman"/>
      <family val="1"/>
    </font>
    <font>
      <b/>
      <sz val="15"/>
      <color rgb="FFFF0000"/>
      <name val="Times New Roman"/>
      <family val="1"/>
    </font>
    <font>
      <sz val="15"/>
      <color rgb="FFFF0000"/>
      <name val="Calibri"/>
      <family val="2"/>
      <scheme val="minor"/>
    </font>
    <font>
      <sz val="12"/>
      <color theme="1"/>
      <name val="Times New Roman"/>
      <family val="1"/>
    </font>
    <font>
      <sz val="13"/>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2"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2">
    <xf numFmtId="0" fontId="0" fillId="0" borderId="0"/>
    <xf numFmtId="0" fontId="27" fillId="0" borderId="0"/>
    <xf numFmtId="164" fontId="9" fillId="0" borderId="0" applyFont="0" applyFill="0" applyBorder="0" applyAlignment="0" applyProtection="0"/>
    <xf numFmtId="168" fontId="10" fillId="0" borderId="0" applyFont="0" applyFill="0" applyBorder="0" applyAlignment="0" applyProtection="0"/>
    <xf numFmtId="164" fontId="9" fillId="0" borderId="0" applyFont="0" applyFill="0" applyBorder="0" applyAlignment="0" applyProtection="0"/>
    <xf numFmtId="164" fontId="30" fillId="0" borderId="0" applyFont="0" applyFill="0" applyBorder="0" applyAlignment="0" applyProtection="0"/>
    <xf numFmtId="164" fontId="10" fillId="0" borderId="0" applyFont="0" applyFill="0" applyBorder="0" applyAlignment="0" applyProtection="0"/>
    <xf numFmtId="168" fontId="10" fillId="0" borderId="0" applyFont="0" applyFill="0" applyBorder="0" applyAlignment="0" applyProtection="0"/>
    <xf numFmtId="0" fontId="10" fillId="0" borderId="0"/>
    <xf numFmtId="0" fontId="10" fillId="0" borderId="0"/>
    <xf numFmtId="0" fontId="10" fillId="0" borderId="0" applyBorder="0"/>
    <xf numFmtId="0" fontId="14" fillId="0" borderId="0"/>
    <xf numFmtId="0" fontId="25" fillId="0" borderId="0"/>
    <xf numFmtId="0" fontId="10" fillId="0" borderId="0"/>
    <xf numFmtId="0" fontId="22" fillId="0" borderId="0"/>
    <xf numFmtId="0" fontId="9" fillId="0" borderId="0"/>
    <xf numFmtId="0" fontId="9" fillId="0" borderId="0"/>
    <xf numFmtId="0" fontId="18" fillId="0" borderId="0"/>
    <xf numFmtId="0" fontId="10" fillId="0" borderId="0"/>
    <xf numFmtId="0" fontId="30" fillId="0" borderId="0"/>
    <xf numFmtId="0" fontId="10" fillId="0" borderId="0"/>
    <xf numFmtId="0" fontId="10" fillId="0" borderId="0"/>
    <xf numFmtId="0" fontId="9" fillId="0" borderId="0"/>
    <xf numFmtId="0" fontId="14" fillId="0" borderId="0"/>
    <xf numFmtId="0" fontId="23" fillId="0" borderId="0"/>
    <xf numFmtId="0" fontId="30" fillId="0" borderId="0"/>
    <xf numFmtId="0" fontId="9" fillId="0" borderId="0"/>
    <xf numFmtId="0" fontId="32" fillId="0" borderId="0"/>
    <xf numFmtId="0" fontId="10" fillId="0" borderId="0"/>
    <xf numFmtId="0" fontId="10" fillId="0" borderId="0"/>
    <xf numFmtId="0" fontId="8" fillId="0" borderId="0"/>
    <xf numFmtId="0" fontId="36" fillId="0" borderId="0"/>
    <xf numFmtId="0" fontId="7" fillId="0" borderId="0"/>
    <xf numFmtId="164" fontId="7" fillId="0" borderId="0" applyFont="0" applyFill="0" applyBorder="0" applyAlignment="0" applyProtection="0"/>
    <xf numFmtId="164" fontId="36" fillId="0" borderId="0" applyFont="0" applyFill="0" applyBorder="0" applyAlignment="0" applyProtection="0"/>
    <xf numFmtId="0" fontId="6" fillId="0" borderId="0"/>
    <xf numFmtId="0" fontId="9" fillId="0" borderId="0"/>
    <xf numFmtId="164" fontId="5" fillId="0" borderId="0" applyFont="0" applyFill="0" applyBorder="0" applyAlignment="0" applyProtection="0"/>
    <xf numFmtId="0" fontId="4" fillId="0" borderId="0"/>
    <xf numFmtId="0" fontId="10" fillId="0" borderId="0"/>
    <xf numFmtId="164" fontId="4" fillId="0" borderId="0" applyFont="0" applyFill="0" applyBorder="0" applyAlignment="0" applyProtection="0"/>
    <xf numFmtId="0" fontId="36" fillId="0" borderId="0"/>
    <xf numFmtId="0" fontId="23" fillId="0" borderId="0"/>
    <xf numFmtId="0" fontId="4" fillId="0" borderId="0"/>
    <xf numFmtId="0" fontId="36" fillId="0" borderId="0"/>
    <xf numFmtId="0" fontId="36" fillId="0" borderId="0"/>
    <xf numFmtId="0" fontId="36" fillId="0" borderId="0"/>
    <xf numFmtId="0" fontId="3" fillId="0" borderId="0"/>
    <xf numFmtId="0" fontId="10" fillId="0" borderId="0"/>
    <xf numFmtId="164" fontId="3" fillId="0" borderId="0" applyFont="0" applyFill="0" applyBorder="0" applyAlignment="0" applyProtection="0"/>
    <xf numFmtId="0" fontId="36" fillId="0" borderId="0"/>
    <xf numFmtId="0" fontId="3" fillId="0" borderId="0"/>
    <xf numFmtId="0" fontId="36" fillId="0" borderId="0"/>
    <xf numFmtId="0" fontId="2" fillId="0" borderId="0"/>
    <xf numFmtId="164" fontId="2" fillId="0" borderId="0" applyFont="0" applyFill="0" applyBorder="0" applyAlignment="0" applyProtection="0"/>
    <xf numFmtId="0" fontId="2" fillId="0" borderId="0"/>
    <xf numFmtId="0" fontId="36" fillId="0" borderId="0"/>
    <xf numFmtId="0" fontId="1" fillId="0" borderId="0"/>
    <xf numFmtId="0" fontId="1" fillId="0" borderId="0"/>
    <xf numFmtId="0" fontId="1" fillId="0" borderId="0"/>
    <xf numFmtId="0" fontId="1" fillId="0" borderId="0"/>
    <xf numFmtId="165" fontId="9" fillId="0" borderId="0" applyFont="0" applyFill="0" applyBorder="0" applyAlignment="0" applyProtection="0"/>
  </cellStyleXfs>
  <cellXfs count="682">
    <xf numFmtId="0" fontId="0" fillId="0" borderId="0" xfId="0"/>
    <xf numFmtId="0" fontId="10" fillId="0" borderId="0" xfId="0" applyFont="1" applyAlignment="1">
      <alignment vertical="center"/>
    </xf>
    <xf numFmtId="0" fontId="13" fillId="0" borderId="0" xfId="0" applyFont="1" applyAlignment="1">
      <alignment vertical="center"/>
    </xf>
    <xf numFmtId="0" fontId="11"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12" fillId="0" borderId="0" xfId="0" applyFont="1" applyAlignment="1">
      <alignment vertical="center"/>
    </xf>
    <xf numFmtId="0" fontId="13" fillId="0" borderId="2" xfId="0" applyFont="1" applyBorder="1" applyAlignment="1">
      <alignment vertical="center"/>
    </xf>
    <xf numFmtId="0" fontId="17" fillId="0" borderId="0" xfId="0" applyFont="1" applyAlignment="1">
      <alignment horizontal="center" vertical="center" wrapText="1"/>
    </xf>
    <xf numFmtId="0" fontId="16" fillId="0" borderId="0" xfId="0" applyFont="1" applyAlignment="1">
      <alignment vertical="center" wrapText="1"/>
    </xf>
    <xf numFmtId="164" fontId="16" fillId="0" borderId="0" xfId="0" applyNumberFormat="1" applyFont="1" applyAlignment="1">
      <alignment vertical="center" wrapText="1"/>
    </xf>
    <xf numFmtId="164" fontId="13" fillId="0" borderId="0" xfId="0" applyNumberFormat="1" applyFont="1" applyAlignment="1">
      <alignment vertical="center"/>
    </xf>
    <xf numFmtId="0" fontId="17" fillId="0" borderId="0" xfId="0" applyFont="1" applyAlignment="1">
      <alignment vertical="center"/>
    </xf>
    <xf numFmtId="0" fontId="16" fillId="0" borderId="0" xfId="0" applyFont="1" applyAlignment="1">
      <alignment vertical="center"/>
    </xf>
    <xf numFmtId="0" fontId="15" fillId="0" borderId="0" xfId="0" applyFont="1" applyAlignment="1">
      <alignment vertical="center"/>
    </xf>
    <xf numFmtId="0" fontId="22" fillId="0" borderId="0" xfId="0" applyFont="1" applyAlignment="1">
      <alignment vertical="center" wrapText="1"/>
    </xf>
    <xf numFmtId="0" fontId="20" fillId="0" borderId="0" xfId="26" applyFont="1" applyAlignment="1">
      <alignment vertical="center"/>
    </xf>
    <xf numFmtId="4" fontId="16" fillId="0" borderId="0" xfId="0" applyNumberFormat="1" applyFont="1" applyAlignment="1">
      <alignment horizontal="right" vertical="center"/>
    </xf>
    <xf numFmtId="0" fontId="16" fillId="0" borderId="0" xfId="0" applyFont="1" applyAlignment="1">
      <alignment horizontal="right" vertical="center"/>
    </xf>
    <xf numFmtId="0" fontId="16" fillId="0" borderId="0" xfId="0" applyFont="1"/>
    <xf numFmtId="0" fontId="20"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164" fontId="16" fillId="0" borderId="1" xfId="2" applyFont="1" applyBorder="1" applyAlignment="1">
      <alignment horizontal="right" vertical="center"/>
    </xf>
    <xf numFmtId="0" fontId="28" fillId="0" borderId="0" xfId="0" applyFont="1" applyAlignment="1">
      <alignment vertical="center"/>
    </xf>
    <xf numFmtId="0" fontId="24" fillId="0" borderId="0" xfId="0" applyFont="1" applyAlignment="1">
      <alignment vertical="center"/>
    </xf>
    <xf numFmtId="164" fontId="11" fillId="0" borderId="0" xfId="2" applyFont="1" applyFill="1" applyAlignment="1">
      <alignment vertical="center"/>
    </xf>
    <xf numFmtId="0" fontId="29" fillId="0" borderId="0" xfId="0" applyFont="1" applyAlignment="1">
      <alignment vertical="center"/>
    </xf>
    <xf numFmtId="49" fontId="13" fillId="0" borderId="0" xfId="2" applyNumberFormat="1" applyFont="1" applyFill="1" applyAlignment="1">
      <alignment vertical="center"/>
    </xf>
    <xf numFmtId="49" fontId="13" fillId="0" borderId="0" xfId="0" applyNumberFormat="1" applyFont="1" applyAlignment="1">
      <alignment vertical="center"/>
    </xf>
    <xf numFmtId="0" fontId="22" fillId="0" borderId="0" xfId="0" applyFont="1" applyAlignment="1">
      <alignment vertical="center"/>
    </xf>
    <xf numFmtId="164" fontId="17" fillId="3" borderId="1" xfId="0" applyNumberFormat="1"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0" xfId="0" applyFont="1" applyFill="1" applyAlignment="1">
      <alignment vertical="center" wrapText="1"/>
    </xf>
    <xf numFmtId="0" fontId="16" fillId="3" borderId="0" xfId="0" applyFont="1" applyFill="1" applyAlignment="1">
      <alignment vertical="center" wrapText="1"/>
    </xf>
    <xf numFmtId="4" fontId="20" fillId="0" borderId="0" xfId="0" applyNumberFormat="1" applyFont="1" applyAlignment="1">
      <alignment vertical="center"/>
    </xf>
    <xf numFmtId="4" fontId="16" fillId="0" borderId="0" xfId="0" applyNumberFormat="1" applyFont="1" applyAlignment="1">
      <alignment vertical="center"/>
    </xf>
    <xf numFmtId="164" fontId="20" fillId="0" borderId="0" xfId="2" applyFont="1" applyFill="1" applyBorder="1" applyAlignment="1">
      <alignment vertical="center"/>
    </xf>
    <xf numFmtId="164" fontId="16" fillId="0" borderId="0" xfId="2" applyFont="1" applyFill="1" applyAlignment="1">
      <alignment vertical="center"/>
    </xf>
    <xf numFmtId="164" fontId="22" fillId="0" borderId="0" xfId="2" applyFont="1" applyFill="1" applyBorder="1" applyAlignment="1">
      <alignment vertical="center"/>
    </xf>
    <xf numFmtId="164" fontId="20" fillId="0" borderId="0" xfId="2" applyFont="1" applyFill="1" applyAlignment="1">
      <alignment vertical="center"/>
    </xf>
    <xf numFmtId="4" fontId="22" fillId="0" borderId="0" xfId="2" applyNumberFormat="1" applyFont="1" applyFill="1" applyAlignment="1">
      <alignment horizontal="center" vertical="center"/>
    </xf>
    <xf numFmtId="4" fontId="20" fillId="0" borderId="0" xfId="2" applyNumberFormat="1" applyFont="1" applyFill="1" applyAlignment="1">
      <alignment horizontal="center" vertical="center"/>
    </xf>
    <xf numFmtId="164" fontId="22" fillId="0" borderId="0" xfId="2" applyFont="1" applyFill="1" applyAlignment="1">
      <alignment vertical="center"/>
    </xf>
    <xf numFmtId="4" fontId="22" fillId="0" borderId="0" xfId="0" applyNumberFormat="1" applyFont="1" applyAlignment="1">
      <alignment vertical="center"/>
    </xf>
    <xf numFmtId="0" fontId="33" fillId="0" borderId="0" xfId="0" applyFont="1" applyAlignment="1">
      <alignment vertical="center"/>
    </xf>
    <xf numFmtId="4" fontId="33" fillId="0" borderId="0" xfId="0" applyNumberFormat="1" applyFont="1" applyAlignment="1">
      <alignment vertical="center"/>
    </xf>
    <xf numFmtId="0" fontId="22" fillId="0" borderId="0" xfId="26" applyFont="1" applyAlignment="1">
      <alignment vertical="center"/>
    </xf>
    <xf numFmtId="4" fontId="33" fillId="0" borderId="0" xfId="2" applyNumberFormat="1" applyFont="1" applyFill="1" applyAlignment="1">
      <alignment horizontal="center" vertical="center"/>
    </xf>
    <xf numFmtId="0" fontId="15" fillId="3" borderId="0" xfId="0" applyFont="1" applyFill="1" applyAlignment="1">
      <alignment vertical="center" wrapText="1"/>
    </xf>
    <xf numFmtId="0" fontId="26" fillId="3" borderId="0" xfId="0" applyFont="1" applyFill="1" applyAlignment="1">
      <alignment vertical="center" wrapText="1"/>
    </xf>
    <xf numFmtId="0" fontId="26" fillId="0" borderId="0" xfId="0" applyFont="1" applyAlignment="1">
      <alignment vertical="center"/>
    </xf>
    <xf numFmtId="164" fontId="26" fillId="0" borderId="0" xfId="0" applyNumberFormat="1" applyFont="1" applyAlignment="1">
      <alignment vertical="center"/>
    </xf>
    <xf numFmtId="165" fontId="26" fillId="0" borderId="0" xfId="0" applyNumberFormat="1" applyFont="1" applyAlignment="1">
      <alignment vertical="center"/>
    </xf>
    <xf numFmtId="0" fontId="34" fillId="0" borderId="0" xfId="0" applyFont="1" applyAlignment="1">
      <alignment vertical="center"/>
    </xf>
    <xf numFmtId="164" fontId="34" fillId="0" borderId="0" xfId="2" applyFont="1" applyFill="1" applyAlignment="1">
      <alignment vertical="center"/>
    </xf>
    <xf numFmtId="4" fontId="34" fillId="0" borderId="0" xfId="0" applyNumberFormat="1" applyFont="1" applyAlignment="1">
      <alignment vertical="center"/>
    </xf>
    <xf numFmtId="4" fontId="34" fillId="0" borderId="0" xfId="2" applyNumberFormat="1" applyFont="1" applyFill="1" applyAlignment="1">
      <alignment horizontal="center" vertical="center"/>
    </xf>
    <xf numFmtId="0" fontId="22" fillId="3" borderId="0" xfId="0" applyFont="1" applyFill="1" applyAlignment="1">
      <alignment vertical="center" wrapText="1"/>
    </xf>
    <xf numFmtId="164" fontId="22" fillId="3" borderId="0" xfId="2" applyFont="1" applyFill="1" applyAlignment="1">
      <alignment vertical="center" wrapText="1"/>
    </xf>
    <xf numFmtId="0" fontId="20" fillId="3" borderId="0" xfId="0" applyFont="1" applyFill="1" applyAlignment="1">
      <alignment vertical="center"/>
    </xf>
    <xf numFmtId="164" fontId="20" fillId="3" borderId="0" xfId="2" applyFont="1" applyFill="1" applyBorder="1" applyAlignment="1">
      <alignment vertical="center"/>
    </xf>
    <xf numFmtId="164" fontId="20" fillId="3" borderId="0" xfId="2" applyFont="1" applyFill="1" applyAlignment="1">
      <alignment vertical="center"/>
    </xf>
    <xf numFmtId="2" fontId="11" fillId="3" borderId="0" xfId="0" applyNumberFormat="1" applyFont="1" applyFill="1" applyAlignment="1">
      <alignment vertical="center" wrapText="1"/>
    </xf>
    <xf numFmtId="0" fontId="11" fillId="3" borderId="0" xfId="0" applyFont="1" applyFill="1" applyAlignment="1">
      <alignment vertical="center" wrapText="1"/>
    </xf>
    <xf numFmtId="0" fontId="11" fillId="3" borderId="0" xfId="0" applyFont="1" applyFill="1" applyAlignment="1">
      <alignment horizontal="center" vertical="center" wrapText="1"/>
    </xf>
    <xf numFmtId="0" fontId="12" fillId="3" borderId="0" xfId="0" applyFont="1" applyFill="1" applyAlignment="1">
      <alignment vertical="center" wrapText="1"/>
    </xf>
    <xf numFmtId="0" fontId="13" fillId="3" borderId="0" xfId="0" applyFont="1" applyFill="1" applyAlignment="1">
      <alignment vertical="center" wrapText="1"/>
    </xf>
    <xf numFmtId="164" fontId="13" fillId="3" borderId="0" xfId="0" applyNumberFormat="1" applyFont="1" applyFill="1" applyAlignment="1">
      <alignment vertical="center" wrapText="1"/>
    </xf>
    <xf numFmtId="2" fontId="13" fillId="3" borderId="0" xfId="0" applyNumberFormat="1" applyFont="1" applyFill="1" applyAlignment="1">
      <alignment vertical="center" wrapText="1"/>
    </xf>
    <xf numFmtId="2" fontId="12" fillId="3" borderId="0" xfId="0" applyNumberFormat="1" applyFont="1" applyFill="1" applyAlignment="1">
      <alignment vertical="center" wrapText="1"/>
    </xf>
    <xf numFmtId="0" fontId="9" fillId="3" borderId="0" xfId="0" applyFont="1" applyFill="1" applyAlignment="1">
      <alignment vertical="center" wrapText="1"/>
    </xf>
    <xf numFmtId="164" fontId="16" fillId="3" borderId="0" xfId="0" applyNumberFormat="1" applyFont="1" applyFill="1" applyAlignment="1">
      <alignment vertical="center" wrapText="1"/>
    </xf>
    <xf numFmtId="4" fontId="16" fillId="3" borderId="0" xfId="0" applyNumberFormat="1" applyFont="1" applyFill="1" applyAlignment="1">
      <alignment vertical="center" wrapText="1"/>
    </xf>
    <xf numFmtId="164" fontId="16" fillId="3" borderId="0" xfId="2" applyFont="1" applyFill="1" applyAlignment="1">
      <alignment vertical="center" wrapText="1"/>
    </xf>
    <xf numFmtId="0" fontId="28" fillId="3" borderId="0" xfId="0" applyFont="1" applyFill="1" applyAlignment="1">
      <alignment vertical="center"/>
    </xf>
    <xf numFmtId="0" fontId="16" fillId="3" borderId="1" xfId="0" applyFont="1" applyFill="1" applyBorder="1" applyAlignment="1">
      <alignment vertical="center" wrapText="1"/>
    </xf>
    <xf numFmtId="0" fontId="33" fillId="0" borderId="0" xfId="0" applyFont="1" applyAlignment="1">
      <alignment horizontal="right" vertical="center"/>
    </xf>
    <xf numFmtId="4" fontId="33" fillId="0" borderId="0" xfId="0" applyNumberFormat="1" applyFont="1" applyAlignment="1">
      <alignment horizontal="right" vertical="center"/>
    </xf>
    <xf numFmtId="0" fontId="19" fillId="0" borderId="0" xfId="0" applyFont="1" applyAlignment="1">
      <alignment vertical="center"/>
    </xf>
    <xf numFmtId="0" fontId="14" fillId="0" borderId="1" xfId="0" applyFont="1" applyBorder="1" applyAlignment="1">
      <alignment horizontal="center" vertical="center" wrapText="1"/>
    </xf>
    <xf numFmtId="0" fontId="19" fillId="0" borderId="1" xfId="0" applyFont="1" applyBorder="1" applyAlignment="1">
      <alignment vertical="center" wrapText="1"/>
    </xf>
    <xf numFmtId="0" fontId="14" fillId="0" borderId="1" xfId="0" applyFont="1" applyBorder="1" applyAlignment="1">
      <alignment vertical="center" wrapText="1"/>
    </xf>
    <xf numFmtId="2" fontId="19" fillId="0" borderId="0" xfId="0" applyNumberFormat="1" applyFont="1" applyAlignment="1">
      <alignment vertical="center"/>
    </xf>
    <xf numFmtId="0" fontId="31" fillId="0" borderId="0" xfId="0" applyFont="1" applyAlignment="1">
      <alignment vertical="center"/>
    </xf>
    <xf numFmtId="2" fontId="31" fillId="0" borderId="0" xfId="0" applyNumberFormat="1" applyFont="1" applyAlignment="1">
      <alignment vertical="center"/>
    </xf>
    <xf numFmtId="0" fontId="14" fillId="0" borderId="0" xfId="0" applyFont="1" applyAlignment="1">
      <alignment vertical="center"/>
    </xf>
    <xf numFmtId="2" fontId="14" fillId="0" borderId="0" xfId="0" applyNumberFormat="1" applyFont="1" applyAlignment="1">
      <alignment vertical="center"/>
    </xf>
    <xf numFmtId="170" fontId="14" fillId="0" borderId="0" xfId="0" applyNumberFormat="1" applyFont="1" applyAlignment="1">
      <alignment vertical="center"/>
    </xf>
    <xf numFmtId="164" fontId="14" fillId="0" borderId="0" xfId="0" applyNumberFormat="1" applyFont="1" applyAlignment="1">
      <alignment vertical="center"/>
    </xf>
    <xf numFmtId="2" fontId="24" fillId="0" borderId="0" xfId="0" applyNumberFormat="1" applyFont="1" applyAlignment="1">
      <alignment vertical="center"/>
    </xf>
    <xf numFmtId="164" fontId="14" fillId="0" borderId="0" xfId="2" applyFont="1" applyFill="1" applyAlignment="1">
      <alignment vertical="center"/>
    </xf>
    <xf numFmtId="173" fontId="14" fillId="0" borderId="0" xfId="0" applyNumberFormat="1" applyFont="1" applyAlignment="1">
      <alignment vertical="center"/>
    </xf>
    <xf numFmtId="172" fontId="14" fillId="0" borderId="0" xfId="0" applyNumberFormat="1" applyFont="1" applyAlignment="1">
      <alignment vertical="center"/>
    </xf>
    <xf numFmtId="0" fontId="14" fillId="0" borderId="2" xfId="0" applyFont="1" applyBorder="1" applyAlignment="1">
      <alignment vertical="center"/>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19" fillId="0" borderId="1" xfId="0" applyFont="1" applyBorder="1" applyAlignment="1">
      <alignment horizontal="center" vertical="center" wrapText="1"/>
    </xf>
    <xf numFmtId="49" fontId="14" fillId="0" borderId="1" xfId="2" applyNumberFormat="1" applyFont="1" applyFill="1" applyBorder="1" applyAlignment="1">
      <alignment horizontal="center" vertical="center"/>
    </xf>
    <xf numFmtId="49" fontId="14" fillId="0" borderId="1" xfId="2" applyNumberFormat="1" applyFont="1" applyFill="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left" vertical="center"/>
    </xf>
    <xf numFmtId="164" fontId="19" fillId="0" borderId="1" xfId="0" applyNumberFormat="1" applyFont="1" applyBorder="1" applyAlignment="1">
      <alignment horizontal="center" vertical="center"/>
    </xf>
    <xf numFmtId="164" fontId="31" fillId="0" borderId="1" xfId="0" applyNumberFormat="1" applyFont="1" applyBorder="1" applyAlignment="1">
      <alignment horizontal="center" vertical="center"/>
    </xf>
    <xf numFmtId="164"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0" fontId="24" fillId="0" borderId="1" xfId="0" applyFont="1" applyBorder="1" applyAlignment="1">
      <alignment horizontal="center" vertical="center"/>
    </xf>
    <xf numFmtId="164" fontId="24" fillId="0" borderId="1" xfId="0" applyNumberFormat="1" applyFont="1" applyBorder="1" applyAlignment="1">
      <alignment horizontal="center" vertical="center"/>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xf>
    <xf numFmtId="164" fontId="19" fillId="0" borderId="1" xfId="2" applyFont="1" applyFill="1" applyBorder="1" applyAlignment="1">
      <alignment horizontal="center" vertical="center" wrapText="1"/>
    </xf>
    <xf numFmtId="0" fontId="19" fillId="0" borderId="1" xfId="0" applyFont="1" applyBorder="1" applyAlignment="1">
      <alignment horizontal="left" vertical="center" wrapText="1"/>
    </xf>
    <xf numFmtId="0" fontId="31" fillId="0" borderId="1" xfId="0" applyFont="1" applyBorder="1" applyAlignment="1">
      <alignment vertical="center"/>
    </xf>
    <xf numFmtId="164" fontId="31" fillId="0" borderId="1" xfId="0" applyNumberFormat="1" applyFont="1" applyBorder="1" applyAlignment="1">
      <alignment vertical="center"/>
    </xf>
    <xf numFmtId="49" fontId="14" fillId="0" borderId="1" xfId="26" applyNumberFormat="1" applyFont="1" applyBorder="1" applyAlignment="1">
      <alignment horizontal="center" vertical="center"/>
    </xf>
    <xf numFmtId="49" fontId="14" fillId="0" borderId="1" xfId="26" applyNumberFormat="1" applyFont="1" applyBorder="1" applyAlignment="1">
      <alignment horizontal="center" vertical="center" wrapText="1"/>
    </xf>
    <xf numFmtId="164" fontId="19" fillId="0" borderId="1" xfId="0" applyNumberFormat="1" applyFont="1" applyBorder="1" applyAlignment="1">
      <alignment horizontal="center" vertical="center" wrapText="1"/>
    </xf>
    <xf numFmtId="164" fontId="19" fillId="3" borderId="1" xfId="0" applyNumberFormat="1" applyFont="1" applyFill="1" applyBorder="1" applyAlignment="1">
      <alignment horizontal="center" vertical="center" wrapText="1"/>
    </xf>
    <xf numFmtId="164" fontId="14" fillId="3" borderId="1" xfId="0" applyNumberFormat="1" applyFont="1" applyFill="1" applyBorder="1" applyAlignment="1">
      <alignment vertical="center" wrapText="1"/>
    </xf>
    <xf numFmtId="164" fontId="31" fillId="3" borderId="1" xfId="0" applyNumberFormat="1" applyFont="1" applyFill="1" applyBorder="1" applyAlignment="1">
      <alignment vertical="center" wrapText="1"/>
    </xf>
    <xf numFmtId="164" fontId="24" fillId="3" borderId="1" xfId="0" applyNumberFormat="1" applyFont="1" applyFill="1" applyBorder="1" applyAlignment="1">
      <alignment vertical="center" wrapText="1"/>
    </xf>
    <xf numFmtId="164" fontId="24" fillId="3"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wrapText="1"/>
    </xf>
    <xf numFmtId="164" fontId="31" fillId="3" borderId="1" xfId="0" applyNumberFormat="1" applyFont="1" applyFill="1" applyBorder="1" applyAlignment="1">
      <alignment horizontal="center" vertical="center" wrapText="1"/>
    </xf>
    <xf numFmtId="164" fontId="19" fillId="3" borderId="1" xfId="0" applyNumberFormat="1" applyFont="1" applyFill="1" applyBorder="1" applyAlignment="1">
      <alignment vertical="center" wrapText="1"/>
    </xf>
    <xf numFmtId="0" fontId="19" fillId="3" borderId="1" xfId="0" applyFont="1" applyFill="1" applyBorder="1" applyAlignment="1">
      <alignment horizontal="left" vertical="center" wrapText="1"/>
    </xf>
    <xf numFmtId="4" fontId="16" fillId="0" borderId="0" xfId="2" applyNumberFormat="1" applyFont="1" applyFill="1" applyAlignment="1">
      <alignment horizontal="right" vertical="center"/>
    </xf>
    <xf numFmtId="164" fontId="14" fillId="3" borderId="1" xfId="2" applyFont="1" applyFill="1" applyBorder="1" applyAlignment="1">
      <alignment vertical="center" wrapText="1"/>
    </xf>
    <xf numFmtId="4" fontId="22" fillId="3" borderId="0" xfId="2" applyNumberFormat="1" applyFont="1" applyFill="1" applyAlignment="1">
      <alignment vertical="center" wrapText="1"/>
    </xf>
    <xf numFmtId="4" fontId="20" fillId="3" borderId="0" xfId="2" applyNumberFormat="1" applyFont="1" applyFill="1" applyBorder="1" applyAlignment="1">
      <alignment vertical="center"/>
    </xf>
    <xf numFmtId="4" fontId="20" fillId="3" borderId="0" xfId="2" applyNumberFormat="1" applyFont="1" applyFill="1" applyAlignment="1">
      <alignment vertical="center"/>
    </xf>
    <xf numFmtId="4" fontId="16" fillId="3" borderId="0" xfId="2" applyNumberFormat="1" applyFont="1" applyFill="1" applyAlignment="1">
      <alignment vertical="center" wrapText="1"/>
    </xf>
    <xf numFmtId="0" fontId="20" fillId="0" borderId="0" xfId="0" applyFont="1" applyAlignment="1">
      <alignment horizontal="center" vertical="center"/>
    </xf>
    <xf numFmtId="0" fontId="11" fillId="0" borderId="0" xfId="0" applyFont="1" applyAlignment="1">
      <alignment horizontal="center" vertical="center"/>
    </xf>
    <xf numFmtId="164" fontId="11" fillId="0" borderId="0" xfId="2" applyFont="1" applyFill="1" applyAlignment="1">
      <alignment horizontal="center" vertical="center"/>
    </xf>
    <xf numFmtId="49" fontId="13" fillId="0" borderId="0" xfId="2" applyNumberFormat="1" applyFont="1" applyFill="1" applyAlignment="1">
      <alignment horizontal="center" vertical="center"/>
    </xf>
    <xf numFmtId="0" fontId="13" fillId="0" borderId="0" xfId="0" applyFont="1" applyAlignment="1">
      <alignment horizontal="center" vertical="center"/>
    </xf>
    <xf numFmtId="2" fontId="21" fillId="0" borderId="0" xfId="0" applyNumberFormat="1" applyFont="1" applyAlignment="1">
      <alignment horizontal="center" vertical="center"/>
    </xf>
    <xf numFmtId="2" fontId="29" fillId="0" borderId="0" xfId="0" applyNumberFormat="1" applyFont="1" applyAlignment="1">
      <alignment horizontal="center" vertical="center"/>
    </xf>
    <xf numFmtId="2" fontId="13" fillId="0" borderId="0" xfId="0" applyNumberFormat="1" applyFont="1" applyAlignment="1">
      <alignment horizontal="center" vertical="center"/>
    </xf>
    <xf numFmtId="2" fontId="12" fillId="0" borderId="0" xfId="0" applyNumberFormat="1" applyFont="1" applyAlignment="1">
      <alignment horizontal="center" vertical="center"/>
    </xf>
    <xf numFmtId="2" fontId="28" fillId="0" borderId="0" xfId="0" applyNumberFormat="1" applyFont="1" applyAlignment="1">
      <alignment horizontal="center" vertical="center"/>
    </xf>
    <xf numFmtId="2" fontId="11" fillId="0" borderId="0" xfId="0" applyNumberFormat="1" applyFont="1" applyAlignment="1">
      <alignment horizontal="center" vertical="center"/>
    </xf>
    <xf numFmtId="2" fontId="44" fillId="0" borderId="1" xfId="42" applyNumberFormat="1" applyFont="1" applyBorder="1" applyAlignment="1">
      <alignment horizontal="center" vertical="center" wrapText="1"/>
    </xf>
    <xf numFmtId="2" fontId="45" fillId="0" borderId="1" xfId="42" applyNumberFormat="1" applyFont="1" applyBorder="1" applyAlignment="1">
      <alignment horizontal="center" vertical="center" wrapText="1"/>
    </xf>
    <xf numFmtId="0" fontId="46" fillId="0" borderId="1" xfId="11" applyFont="1" applyBorder="1" applyAlignment="1">
      <alignment horizontal="center" vertical="center" wrapText="1"/>
    </xf>
    <xf numFmtId="167" fontId="44" fillId="0" borderId="1" xfId="42" applyNumberFormat="1" applyFont="1" applyBorder="1" applyAlignment="1">
      <alignment horizontal="left" vertical="center" wrapText="1"/>
    </xf>
    <xf numFmtId="4" fontId="45" fillId="0" borderId="1" xfId="42" applyNumberFormat="1" applyFont="1" applyBorder="1" applyAlignment="1">
      <alignment horizontal="center" vertical="center" wrapText="1"/>
    </xf>
    <xf numFmtId="175" fontId="44" fillId="0" borderId="1" xfId="42" applyNumberFormat="1" applyFont="1" applyBorder="1" applyAlignment="1">
      <alignment horizontal="center" vertical="center" wrapText="1"/>
    </xf>
    <xf numFmtId="175" fontId="44" fillId="0" borderId="1" xfId="11" applyNumberFormat="1" applyFont="1" applyBorder="1" applyAlignment="1">
      <alignment horizontal="center" vertical="center" wrapText="1"/>
    </xf>
    <xf numFmtId="164" fontId="15" fillId="0" borderId="0" xfId="0" applyNumberFormat="1" applyFont="1" applyAlignment="1">
      <alignment vertical="center"/>
    </xf>
    <xf numFmtId="1" fontId="45" fillId="0" borderId="1" xfId="48" applyNumberFormat="1" applyFont="1" applyBorder="1" applyAlignment="1">
      <alignment horizontal="center" vertical="center" wrapText="1"/>
    </xf>
    <xf numFmtId="174" fontId="45" fillId="0" borderId="1" xfId="21" applyNumberFormat="1" applyFont="1" applyBorder="1" applyAlignment="1">
      <alignment horizontal="left" vertical="center" wrapText="1"/>
    </xf>
    <xf numFmtId="174" fontId="45" fillId="0" borderId="1" xfId="21" applyNumberFormat="1" applyFont="1" applyBorder="1" applyAlignment="1">
      <alignment horizontal="center" vertical="center" wrapText="1"/>
    </xf>
    <xf numFmtId="167" fontId="45" fillId="0" borderId="1" xfId="48" applyNumberFormat="1" applyFont="1" applyBorder="1" applyAlignment="1">
      <alignment horizontal="left" vertical="center" wrapText="1"/>
    </xf>
    <xf numFmtId="167" fontId="45" fillId="0" borderId="1" xfId="48" applyNumberFormat="1" applyFont="1" applyBorder="1" applyAlignment="1">
      <alignment horizontal="center" vertical="center" wrapText="1"/>
    </xf>
    <xf numFmtId="167" fontId="20" fillId="0" borderId="1" xfId="48" applyNumberFormat="1" applyFont="1" applyBorder="1" applyAlignment="1">
      <alignment horizontal="center" vertical="center" wrapText="1"/>
    </xf>
    <xf numFmtId="175" fontId="44" fillId="0" borderId="1" xfId="48" applyNumberFormat="1" applyFont="1" applyBorder="1" applyAlignment="1">
      <alignment horizontal="center" vertical="center" wrapText="1"/>
    </xf>
    <xf numFmtId="0" fontId="45" fillId="0" borderId="1" xfId="48" applyFont="1" applyBorder="1" applyAlignment="1">
      <alignment horizontal="center" vertical="center" wrapText="1"/>
    </xf>
    <xf numFmtId="0" fontId="45" fillId="0" borderId="1" xfId="48" applyFont="1" applyBorder="1" applyAlignment="1">
      <alignment horizontal="left" vertical="center" wrapText="1"/>
    </xf>
    <xf numFmtId="2" fontId="22" fillId="0" borderId="1" xfId="42" applyNumberFormat="1" applyFont="1" applyBorder="1" applyAlignment="1">
      <alignment horizontal="center" vertical="center" wrapText="1"/>
    </xf>
    <xf numFmtId="2" fontId="44" fillId="0" borderId="1" xfId="48" applyNumberFormat="1" applyFont="1" applyBorder="1" applyAlignment="1">
      <alignment horizontal="center" vertical="center" wrapText="1"/>
    </xf>
    <xf numFmtId="2" fontId="22" fillId="0" borderId="1" xfId="48" applyNumberFormat="1" applyFont="1" applyBorder="1" applyAlignment="1">
      <alignment horizontal="center" vertical="center" wrapText="1"/>
    </xf>
    <xf numFmtId="0" fontId="46" fillId="0" borderId="1" xfId="48" applyFont="1" applyBorder="1" applyAlignment="1">
      <alignment horizontal="left" vertical="center" wrapText="1"/>
    </xf>
    <xf numFmtId="0" fontId="46" fillId="0" borderId="1" xfId="48" applyFont="1" applyBorder="1" applyAlignment="1">
      <alignment horizontal="center" vertical="center" wrapText="1"/>
    </xf>
    <xf numFmtId="167" fontId="34" fillId="0" borderId="1" xfId="48" applyNumberFormat="1" applyFont="1" applyBorder="1" applyAlignment="1">
      <alignment horizontal="center" vertical="center" wrapText="1"/>
    </xf>
    <xf numFmtId="0" fontId="44" fillId="0" borderId="1" xfId="48" applyFont="1" applyBorder="1" applyAlignment="1">
      <alignment horizontal="justify" vertical="center" wrapText="1"/>
    </xf>
    <xf numFmtId="1" fontId="46" fillId="0" borderId="1" xfId="48" applyNumberFormat="1" applyFont="1" applyBorder="1" applyAlignment="1">
      <alignment horizontal="center" vertical="center" wrapText="1"/>
    </xf>
    <xf numFmtId="167" fontId="46" fillId="0" borderId="1" xfId="48" applyNumberFormat="1" applyFont="1" applyBorder="1" applyAlignment="1">
      <alignment horizontal="left" vertical="center" wrapText="1"/>
    </xf>
    <xf numFmtId="167" fontId="46" fillId="0" borderId="1" xfId="48" applyNumberFormat="1" applyFont="1" applyBorder="1" applyAlignment="1">
      <alignment horizontal="center" vertical="center" wrapText="1"/>
    </xf>
    <xf numFmtId="49" fontId="44" fillId="0" borderId="1" xfId="48" applyNumberFormat="1" applyFont="1" applyBorder="1" applyAlignment="1">
      <alignment horizontal="left" vertical="center" wrapText="1"/>
    </xf>
    <xf numFmtId="0" fontId="20" fillId="0" borderId="1" xfId="48" applyFont="1" applyBorder="1" applyAlignment="1">
      <alignment horizontal="center" vertical="center" wrapText="1"/>
    </xf>
    <xf numFmtId="0" fontId="45" fillId="0" borderId="1" xfId="11" applyFont="1" applyBorder="1" applyAlignment="1">
      <alignment horizontal="center" vertical="center" wrapText="1"/>
    </xf>
    <xf numFmtId="4" fontId="38" fillId="0" borderId="1" xfId="48" applyNumberFormat="1" applyFont="1" applyBorder="1" applyAlignment="1">
      <alignment horizontal="center" vertical="center" wrapText="1"/>
    </xf>
    <xf numFmtId="169" fontId="44" fillId="0" borderId="1" xfId="48" applyNumberFormat="1" applyFont="1" applyBorder="1" applyAlignment="1">
      <alignment horizontal="center" vertical="center" wrapText="1"/>
    </xf>
    <xf numFmtId="0" fontId="44" fillId="0" borderId="1" xfId="48" applyFont="1" applyBorder="1" applyAlignment="1">
      <alignment vertical="center" wrapText="1"/>
    </xf>
    <xf numFmtId="2" fontId="44" fillId="0" borderId="1" xfId="11" applyNumberFormat="1" applyFont="1" applyBorder="1" applyAlignment="1">
      <alignment horizontal="left" vertical="center" wrapText="1"/>
    </xf>
    <xf numFmtId="4" fontId="45" fillId="0" borderId="1" xfId="11" applyNumberFormat="1" applyFont="1" applyBorder="1" applyAlignment="1">
      <alignment horizontal="center" vertical="center" wrapText="1"/>
    </xf>
    <xf numFmtId="167" fontId="33" fillId="0" borderId="1" xfId="48" applyNumberFormat="1" applyFont="1" applyBorder="1" applyAlignment="1">
      <alignment horizontal="center" vertical="center" wrapText="1"/>
    </xf>
    <xf numFmtId="0" fontId="47" fillId="0" borderId="0" xfId="53" applyFont="1"/>
    <xf numFmtId="167" fontId="34" fillId="0" borderId="3" xfId="48" applyNumberFormat="1" applyFont="1" applyBorder="1" applyAlignment="1">
      <alignment horizontal="center" vertical="center" wrapText="1"/>
    </xf>
    <xf numFmtId="167" fontId="22" fillId="0" borderId="1" xfId="48" applyNumberFormat="1" applyFont="1" applyBorder="1" applyAlignment="1">
      <alignment horizontal="center" vertical="center" wrapText="1"/>
    </xf>
    <xf numFmtId="0" fontId="50" fillId="0" borderId="0" xfId="53" applyFont="1"/>
    <xf numFmtId="0" fontId="53" fillId="0" borderId="0" xfId="53" applyFont="1"/>
    <xf numFmtId="0" fontId="20" fillId="0" borderId="1" xfId="53" applyFont="1" applyBorder="1" applyAlignment="1">
      <alignment horizontal="center" vertical="center"/>
    </xf>
    <xf numFmtId="0" fontId="50" fillId="0" borderId="1" xfId="53" applyFont="1" applyBorder="1"/>
    <xf numFmtId="0" fontId="38" fillId="0" borderId="1" xfId="53" applyFont="1" applyBorder="1" applyAlignment="1">
      <alignment horizontal="center" vertical="center" wrapText="1"/>
    </xf>
    <xf numFmtId="0" fontId="22" fillId="0" borderId="1" xfId="53" applyFont="1" applyBorder="1" applyAlignment="1">
      <alignment horizontal="center" vertical="center"/>
    </xf>
    <xf numFmtId="0" fontId="38" fillId="0" borderId="1" xfId="53" applyFont="1" applyBorder="1" applyAlignment="1">
      <alignment horizontal="center" vertical="center"/>
    </xf>
    <xf numFmtId="0" fontId="51" fillId="0" borderId="1" xfId="53" applyFont="1" applyBorder="1"/>
    <xf numFmtId="0" fontId="51" fillId="0" borderId="0" xfId="53" applyFont="1"/>
    <xf numFmtId="2" fontId="44" fillId="0" borderId="1" xfId="53" applyNumberFormat="1" applyFont="1" applyBorder="1" applyAlignment="1">
      <alignment horizontal="center" vertical="center" wrapText="1"/>
    </xf>
    <xf numFmtId="0" fontId="44" fillId="0" borderId="1" xfId="53" applyFont="1" applyBorder="1" applyAlignment="1">
      <alignment horizontal="center" vertical="center"/>
    </xf>
    <xf numFmtId="166" fontId="44" fillId="0" borderId="1" xfId="53" applyNumberFormat="1" applyFont="1" applyBorder="1" applyAlignment="1">
      <alignment horizontal="center" vertical="center" wrapText="1"/>
    </xf>
    <xf numFmtId="0" fontId="20" fillId="0" borderId="3" xfId="53" applyFont="1" applyBorder="1" applyAlignment="1">
      <alignment horizontal="center" vertical="center"/>
    </xf>
    <xf numFmtId="0" fontId="20" fillId="0" borderId="1" xfId="53" applyFont="1" applyBorder="1" applyAlignment="1">
      <alignment horizontal="center" vertical="center" wrapText="1"/>
    </xf>
    <xf numFmtId="4" fontId="44" fillId="0" borderId="1" xfId="53" applyNumberFormat="1" applyFont="1" applyBorder="1" applyAlignment="1">
      <alignment horizontal="center" vertical="center" wrapText="1"/>
    </xf>
    <xf numFmtId="4" fontId="22" fillId="0" borderId="1" xfId="53" applyNumberFormat="1" applyFont="1" applyBorder="1" applyAlignment="1">
      <alignment horizontal="center" vertical="center" wrapText="1"/>
    </xf>
    <xf numFmtId="4" fontId="20" fillId="0" borderId="1" xfId="53" applyNumberFormat="1" applyFont="1" applyBorder="1" applyAlignment="1">
      <alignment horizontal="center" vertical="center" wrapText="1"/>
    </xf>
    <xf numFmtId="4" fontId="44" fillId="0" borderId="1" xfId="53" applyNumberFormat="1" applyFont="1" applyBorder="1" applyAlignment="1">
      <alignment horizontal="left" vertical="center" wrapText="1"/>
    </xf>
    <xf numFmtId="0" fontId="44" fillId="0" borderId="1" xfId="53" applyFont="1" applyBorder="1" applyAlignment="1">
      <alignment horizontal="left" vertical="center"/>
    </xf>
    <xf numFmtId="0" fontId="44" fillId="0" borderId="1" xfId="53" applyFont="1" applyBorder="1" applyAlignment="1">
      <alignment horizontal="left" vertical="center" wrapText="1"/>
    </xf>
    <xf numFmtId="167" fontId="22" fillId="0" borderId="1" xfId="53" applyNumberFormat="1" applyFont="1" applyBorder="1" applyAlignment="1">
      <alignment horizontal="center" vertical="center" wrapText="1"/>
    </xf>
    <xf numFmtId="2" fontId="44" fillId="0" borderId="1" xfId="53" applyNumberFormat="1" applyFont="1" applyBorder="1" applyAlignment="1">
      <alignment horizontal="center" vertical="center"/>
    </xf>
    <xf numFmtId="0" fontId="48" fillId="0" borderId="1" xfId="53" applyFont="1" applyBorder="1" applyAlignment="1">
      <alignment horizontal="center" vertical="center" wrapText="1"/>
    </xf>
    <xf numFmtId="0" fontId="33" fillId="0" borderId="1" xfId="53" applyFont="1" applyBorder="1" applyAlignment="1">
      <alignment horizontal="center" vertical="center" wrapText="1"/>
    </xf>
    <xf numFmtId="0" fontId="34" fillId="0" borderId="1" xfId="53" applyFont="1" applyBorder="1" applyAlignment="1">
      <alignment horizontal="center" vertical="center" wrapText="1"/>
    </xf>
    <xf numFmtId="0" fontId="37" fillId="0" borderId="1" xfId="53" applyFont="1" applyBorder="1" applyAlignment="1">
      <alignment horizontal="center" vertical="center" wrapText="1"/>
    </xf>
    <xf numFmtId="0" fontId="52" fillId="0" borderId="1" xfId="53" applyFont="1" applyBorder="1"/>
    <xf numFmtId="0" fontId="16" fillId="0" borderId="1" xfId="53" applyFont="1" applyBorder="1" applyAlignment="1">
      <alignment vertical="center"/>
    </xf>
    <xf numFmtId="4" fontId="44" fillId="0" borderId="1" xfId="53" applyNumberFormat="1" applyFont="1" applyBorder="1" applyAlignment="1">
      <alignment horizontal="center" vertical="center"/>
    </xf>
    <xf numFmtId="167" fontId="44" fillId="0" borderId="1" xfId="53" applyNumberFormat="1" applyFont="1" applyBorder="1" applyAlignment="1">
      <alignment vertical="center" wrapText="1"/>
    </xf>
    <xf numFmtId="167" fontId="44" fillId="0" borderId="1" xfId="53" applyNumberFormat="1" applyFont="1" applyBorder="1" applyAlignment="1">
      <alignment wrapText="1"/>
    </xf>
    <xf numFmtId="0" fontId="22" fillId="0" borderId="3" xfId="53" applyFont="1" applyBorder="1" applyAlignment="1">
      <alignment horizontal="center" vertical="center" wrapText="1"/>
    </xf>
    <xf numFmtId="0" fontId="50" fillId="0" borderId="0" xfId="53" applyFont="1" applyAlignment="1">
      <alignment horizontal="center"/>
    </xf>
    <xf numFmtId="0" fontId="50" fillId="0" borderId="0" xfId="53" applyFont="1" applyAlignment="1">
      <alignment horizontal="center" vertical="center"/>
    </xf>
    <xf numFmtId="0" fontId="50" fillId="0" borderId="0" xfId="53" applyFont="1" applyAlignment="1">
      <alignment wrapText="1"/>
    </xf>
    <xf numFmtId="0" fontId="52" fillId="0" borderId="0" xfId="53" applyFont="1"/>
    <xf numFmtId="0" fontId="16" fillId="0" borderId="0" xfId="53" applyFont="1" applyAlignment="1">
      <alignment vertical="center"/>
    </xf>
    <xf numFmtId="0" fontId="16" fillId="0" borderId="0" xfId="53" applyFont="1"/>
    <xf numFmtId="0" fontId="41" fillId="0" borderId="0" xfId="53" applyFont="1" applyAlignment="1">
      <alignment horizontal="left" vertical="center"/>
    </xf>
    <xf numFmtId="167" fontId="41" fillId="0" borderId="0" xfId="53" applyNumberFormat="1" applyFont="1" applyAlignment="1">
      <alignment horizontal="left" vertical="center"/>
    </xf>
    <xf numFmtId="0" fontId="41" fillId="0" borderId="0" xfId="53" applyFont="1" applyAlignment="1">
      <alignment horizontal="center" vertical="center"/>
    </xf>
    <xf numFmtId="0" fontId="41" fillId="0" borderId="0" xfId="53" applyFont="1" applyAlignment="1">
      <alignment horizontal="left" vertical="center" wrapText="1"/>
    </xf>
    <xf numFmtId="0" fontId="52" fillId="0" borderId="0" xfId="53" applyFont="1" applyAlignment="1">
      <alignment horizontal="left" vertical="center"/>
    </xf>
    <xf numFmtId="0" fontId="42" fillId="0" borderId="0" xfId="53" applyFont="1" applyAlignment="1">
      <alignment horizontal="left" vertical="center"/>
    </xf>
    <xf numFmtId="0" fontId="43" fillId="0" borderId="0" xfId="53" applyFont="1" applyAlignment="1">
      <alignment horizontal="left" vertical="center"/>
    </xf>
    <xf numFmtId="167" fontId="50" fillId="0" borderId="0" xfId="53" applyNumberFormat="1" applyFont="1"/>
    <xf numFmtId="0" fontId="22" fillId="0" borderId="0" xfId="53" applyFont="1"/>
    <xf numFmtId="167" fontId="45" fillId="0" borderId="1" xfId="53" applyNumberFormat="1" applyFont="1" applyBorder="1" applyAlignment="1">
      <alignment horizontal="center" vertical="center"/>
    </xf>
    <xf numFmtId="167" fontId="45" fillId="0" borderId="1" xfId="53" applyNumberFormat="1" applyFont="1" applyBorder="1" applyAlignment="1">
      <alignment horizontal="center" vertical="center" wrapText="1"/>
    </xf>
    <xf numFmtId="0" fontId="16" fillId="0" borderId="1" xfId="53" applyFont="1" applyBorder="1"/>
    <xf numFmtId="0" fontId="45" fillId="0" borderId="1" xfId="55" applyFont="1" applyBorder="1" applyAlignment="1">
      <alignment horizontal="left" vertical="center" wrapText="1"/>
    </xf>
    <xf numFmtId="0" fontId="45" fillId="0" borderId="1" xfId="55" applyFont="1" applyBorder="1" applyAlignment="1">
      <alignment horizontal="center" vertical="center" wrapText="1"/>
    </xf>
    <xf numFmtId="0" fontId="22" fillId="0" borderId="1" xfId="48" applyFont="1" applyBorder="1" applyAlignment="1">
      <alignment horizontal="center" vertical="center" wrapText="1"/>
    </xf>
    <xf numFmtId="0" fontId="16" fillId="0" borderId="1" xfId="53" applyFont="1" applyBorder="1" applyAlignment="1">
      <alignment vertical="center" wrapText="1"/>
    </xf>
    <xf numFmtId="0" fontId="44" fillId="0" borderId="10" xfId="53" applyFont="1" applyBorder="1" applyAlignment="1">
      <alignment horizontal="center" vertical="center" wrapText="1"/>
    </xf>
    <xf numFmtId="0" fontId="38" fillId="0" borderId="3" xfId="53" applyFont="1" applyBorder="1" applyAlignment="1">
      <alignment horizontal="center" vertical="center" wrapText="1"/>
    </xf>
    <xf numFmtId="0" fontId="49" fillId="0" borderId="1" xfId="53" applyFont="1" applyBorder="1" applyAlignment="1">
      <alignment vertical="center" wrapText="1"/>
    </xf>
    <xf numFmtId="0" fontId="14" fillId="0" borderId="1" xfId="53" applyFont="1" applyBorder="1" applyAlignment="1">
      <alignment horizontal="center" vertical="center" wrapText="1"/>
    </xf>
    <xf numFmtId="0" fontId="44" fillId="0" borderId="0" xfId="53" applyFont="1" applyAlignment="1">
      <alignment horizontal="center" vertical="center" wrapText="1"/>
    </xf>
    <xf numFmtId="0" fontId="55" fillId="0" borderId="0" xfId="53" applyFont="1"/>
    <xf numFmtId="167" fontId="48" fillId="0" borderId="3" xfId="48" applyNumberFormat="1" applyFont="1" applyBorder="1" applyAlignment="1">
      <alignment horizontal="center" vertical="center" wrapText="1"/>
    </xf>
    <xf numFmtId="0" fontId="44" fillId="4" borderId="1" xfId="48" applyFont="1" applyFill="1" applyBorder="1" applyAlignment="1">
      <alignment horizontal="center" vertical="center" wrapText="1"/>
    </xf>
    <xf numFmtId="4" fontId="44" fillId="4" borderId="1" xfId="48" applyNumberFormat="1" applyFont="1" applyFill="1" applyBorder="1" applyAlignment="1">
      <alignment horizontal="center" vertical="center" wrapText="1"/>
    </xf>
    <xf numFmtId="0" fontId="44" fillId="4" borderId="1" xfId="53" applyFont="1" applyFill="1" applyBorder="1" applyAlignment="1">
      <alignment horizontal="center" vertical="center" wrapText="1"/>
    </xf>
    <xf numFmtId="0" fontId="22" fillId="4" borderId="1" xfId="53" applyFont="1" applyFill="1" applyBorder="1" applyAlignment="1">
      <alignment horizontal="center" vertical="center" wrapText="1"/>
    </xf>
    <xf numFmtId="0" fontId="50" fillId="4" borderId="0" xfId="53" applyFont="1" applyFill="1"/>
    <xf numFmtId="0" fontId="50" fillId="0" borderId="0" xfId="0" applyFont="1"/>
    <xf numFmtId="0" fontId="44"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4" fontId="44" fillId="3" borderId="1" xfId="42" applyNumberFormat="1" applyFont="1" applyFill="1" applyBorder="1" applyAlignment="1">
      <alignment horizontal="center" vertical="center" wrapText="1"/>
    </xf>
    <xf numFmtId="0" fontId="44" fillId="3" borderId="1" xfId="48" applyFont="1" applyFill="1" applyBorder="1" applyAlignment="1">
      <alignment horizontal="center" vertical="center" wrapText="1"/>
    </xf>
    <xf numFmtId="0" fontId="44" fillId="3" borderId="1" xfId="48" applyFont="1" applyFill="1" applyBorder="1" applyAlignment="1">
      <alignment horizontal="left" vertical="center" wrapText="1"/>
    </xf>
    <xf numFmtId="0" fontId="17" fillId="0" borderId="1" xfId="53" applyFont="1" applyBorder="1" applyAlignment="1">
      <alignment vertical="center"/>
    </xf>
    <xf numFmtId="0" fontId="45" fillId="0" borderId="1" xfId="53" applyFont="1" applyBorder="1" applyAlignment="1">
      <alignment horizontal="center" vertical="center"/>
    </xf>
    <xf numFmtId="167" fontId="45" fillId="0" borderId="9" xfId="53" applyNumberFormat="1" applyFont="1" applyBorder="1" applyAlignment="1">
      <alignment horizontal="center" vertical="center" wrapText="1"/>
    </xf>
    <xf numFmtId="167" fontId="48" fillId="0" borderId="9" xfId="48" applyNumberFormat="1" applyFont="1" applyBorder="1" applyAlignment="1">
      <alignment horizontal="center" vertical="center" wrapText="1"/>
    </xf>
    <xf numFmtId="167" fontId="44" fillId="0" borderId="9" xfId="53" applyNumberFormat="1" applyFont="1" applyBorder="1" applyAlignment="1">
      <alignment horizontal="center" vertical="center" wrapText="1"/>
    </xf>
    <xf numFmtId="0" fontId="44" fillId="0" borderId="9" xfId="48" applyFont="1" applyBorder="1" applyAlignment="1">
      <alignment horizontal="center" vertical="center" wrapText="1"/>
    </xf>
    <xf numFmtId="167" fontId="44" fillId="0" borderId="9" xfId="48" applyNumberFormat="1" applyFont="1" applyBorder="1" applyAlignment="1">
      <alignment horizontal="center" vertical="center" wrapText="1"/>
    </xf>
    <xf numFmtId="0" fontId="45" fillId="0" borderId="9" xfId="53" applyFont="1" applyBorder="1" applyAlignment="1">
      <alignment horizontal="center" vertical="center" wrapText="1"/>
    </xf>
    <xf numFmtId="0" fontId="44" fillId="0" borderId="9" xfId="53" applyFont="1" applyBorder="1" applyAlignment="1">
      <alignment horizontal="center" vertical="center"/>
    </xf>
    <xf numFmtId="167" fontId="46" fillId="0" borderId="9" xfId="48" applyNumberFormat="1" applyFont="1" applyBorder="1" applyAlignment="1">
      <alignment horizontal="center" vertical="center" wrapText="1"/>
    </xf>
    <xf numFmtId="0" fontId="38" fillId="0" borderId="9" xfId="53" applyFont="1" applyBorder="1" applyAlignment="1">
      <alignment horizontal="center" vertical="center" wrapText="1"/>
    </xf>
    <xf numFmtId="0" fontId="48" fillId="0" borderId="9" xfId="53" applyFont="1" applyBorder="1" applyAlignment="1">
      <alignment horizontal="center" vertical="center" wrapText="1"/>
    </xf>
    <xf numFmtId="4" fontId="44" fillId="0" borderId="9" xfId="53" applyNumberFormat="1" applyFont="1" applyBorder="1" applyAlignment="1">
      <alignment horizontal="center" vertical="center" wrapText="1"/>
    </xf>
    <xf numFmtId="0" fontId="44" fillId="3" borderId="9" xfId="0" applyFont="1" applyFill="1" applyBorder="1" applyAlignment="1">
      <alignment horizontal="center" vertical="center" wrapText="1"/>
    </xf>
    <xf numFmtId="167" fontId="44" fillId="0" borderId="1" xfId="48" applyNumberFormat="1" applyFont="1" applyBorder="1" applyAlignment="1">
      <alignment vertical="center" wrapText="1"/>
    </xf>
    <xf numFmtId="4" fontId="44" fillId="0" borderId="1" xfId="11" applyNumberFormat="1" applyFont="1" applyBorder="1" applyAlignment="1">
      <alignment vertical="center" wrapText="1"/>
    </xf>
    <xf numFmtId="0" fontId="50" fillId="0" borderId="1" xfId="0" applyFont="1" applyBorder="1"/>
    <xf numFmtId="1" fontId="44" fillId="4" borderId="1" xfId="53" applyNumberFormat="1" applyFont="1" applyFill="1" applyBorder="1" applyAlignment="1">
      <alignment horizontal="center" vertical="center" wrapText="1"/>
    </xf>
    <xf numFmtId="167" fontId="44" fillId="4" borderId="1" xfId="48" applyNumberFormat="1" applyFont="1" applyFill="1" applyBorder="1" applyAlignment="1">
      <alignment horizontal="left" vertical="center" wrapText="1"/>
    </xf>
    <xf numFmtId="167" fontId="44" fillId="4" borderId="1" xfId="48" applyNumberFormat="1" applyFont="1" applyFill="1" applyBorder="1" applyAlignment="1">
      <alignment horizontal="center" vertical="center" wrapText="1"/>
    </xf>
    <xf numFmtId="0" fontId="44" fillId="4" borderId="9" xfId="53" applyFont="1" applyFill="1" applyBorder="1" applyAlignment="1">
      <alignment horizontal="center" vertical="center" wrapText="1"/>
    </xf>
    <xf numFmtId="0" fontId="20" fillId="4" borderId="1" xfId="53" applyFont="1" applyFill="1" applyBorder="1" applyAlignment="1">
      <alignment horizontal="center" vertical="center" wrapText="1"/>
    </xf>
    <xf numFmtId="171" fontId="14" fillId="3" borderId="1" xfId="0" applyNumberFormat="1" applyFont="1" applyFill="1" applyBorder="1" applyAlignment="1">
      <alignment vertical="center" wrapText="1"/>
    </xf>
    <xf numFmtId="171" fontId="14" fillId="3" borderId="1" xfId="0" applyNumberFormat="1" applyFont="1" applyFill="1" applyBorder="1" applyAlignment="1">
      <alignment horizontal="center" vertical="center" wrapText="1"/>
    </xf>
    <xf numFmtId="2" fontId="31" fillId="0" borderId="1" xfId="0" applyNumberFormat="1" applyFont="1" applyBorder="1" applyAlignment="1">
      <alignment vertical="center"/>
    </xf>
    <xf numFmtId="0" fontId="19" fillId="0" borderId="1" xfId="0" applyFont="1" applyBorder="1" applyAlignment="1">
      <alignment horizontal="center" vertical="center"/>
    </xf>
    <xf numFmtId="0" fontId="19" fillId="3" borderId="1" xfId="0" applyFont="1" applyFill="1" applyBorder="1" applyAlignment="1">
      <alignment horizontal="center" vertical="center" wrapText="1"/>
    </xf>
    <xf numFmtId="0" fontId="19" fillId="0" borderId="1" xfId="0" applyFont="1" applyBorder="1" applyAlignment="1">
      <alignment horizontal="center" vertical="center" wrapText="1"/>
    </xf>
    <xf numFmtId="166" fontId="22" fillId="0" borderId="0" xfId="0" applyNumberFormat="1" applyFont="1" applyAlignment="1">
      <alignment vertical="center"/>
    </xf>
    <xf numFmtId="2" fontId="13" fillId="0" borderId="0" xfId="0" applyNumberFormat="1" applyFont="1" applyFill="1" applyAlignment="1">
      <alignment vertical="center"/>
    </xf>
    <xf numFmtId="0" fontId="28" fillId="0" borderId="0" xfId="0" applyFont="1" applyFill="1" applyAlignment="1">
      <alignment vertical="center"/>
    </xf>
    <xf numFmtId="176" fontId="16" fillId="0" borderId="1" xfId="2" applyNumberFormat="1" applyFont="1" applyFill="1" applyBorder="1" applyAlignment="1">
      <alignment horizontal="center" vertical="center"/>
    </xf>
    <xf numFmtId="0" fontId="13" fillId="0" borderId="0" xfId="0" applyFont="1" applyFill="1" applyAlignment="1">
      <alignment vertical="center"/>
    </xf>
    <xf numFmtId="4" fontId="35" fillId="0" borderId="1" xfId="0" applyNumberFormat="1" applyFont="1" applyFill="1" applyBorder="1" applyAlignment="1">
      <alignment vertical="center"/>
    </xf>
    <xf numFmtId="176" fontId="15" fillId="0" borderId="1" xfId="2" applyNumberFormat="1" applyFont="1" applyFill="1" applyBorder="1" applyAlignment="1">
      <alignment horizontal="center" vertical="center"/>
    </xf>
    <xf numFmtId="176" fontId="15" fillId="0" borderId="1" xfId="0" applyNumberFormat="1" applyFont="1" applyFill="1" applyBorder="1" applyAlignment="1">
      <alignment horizontal="center" vertical="center"/>
    </xf>
    <xf numFmtId="176" fontId="35" fillId="0" borderId="1" xfId="0" applyNumberFormat="1" applyFont="1" applyFill="1" applyBorder="1" applyAlignment="1">
      <alignment vertical="center"/>
    </xf>
    <xf numFmtId="0" fontId="35" fillId="0" borderId="0" xfId="0" applyFont="1" applyFill="1" applyAlignment="1">
      <alignment vertical="center"/>
    </xf>
    <xf numFmtId="4" fontId="12" fillId="0" borderId="1" xfId="0" applyNumberFormat="1" applyFont="1" applyFill="1" applyBorder="1" applyAlignment="1">
      <alignment vertical="center"/>
    </xf>
    <xf numFmtId="0" fontId="12" fillId="0" borderId="0" xfId="0" applyFont="1" applyFill="1" applyAlignment="1">
      <alignment vertical="center"/>
    </xf>
    <xf numFmtId="4" fontId="15" fillId="0" borderId="1" xfId="2" applyNumberFormat="1" applyFont="1" applyFill="1" applyBorder="1" applyAlignment="1">
      <alignment horizontal="center" vertical="center"/>
    </xf>
    <xf numFmtId="4" fontId="15" fillId="0" borderId="1" xfId="0" applyNumberFormat="1" applyFont="1" applyFill="1" applyBorder="1" applyAlignment="1">
      <alignment horizontal="center" vertical="center"/>
    </xf>
    <xf numFmtId="164" fontId="12" fillId="0" borderId="0" xfId="0" applyNumberFormat="1" applyFont="1" applyFill="1" applyAlignment="1">
      <alignment vertical="center"/>
    </xf>
    <xf numFmtId="4" fontId="13" fillId="0" borderId="1" xfId="0" applyNumberFormat="1" applyFont="1" applyFill="1" applyBorder="1" applyAlignment="1">
      <alignment vertical="center"/>
    </xf>
    <xf numFmtId="4" fontId="16" fillId="0" borderId="1" xfId="2" applyNumberFormat="1" applyFont="1" applyFill="1" applyBorder="1" applyAlignment="1">
      <alignment horizontal="center" vertical="center"/>
    </xf>
    <xf numFmtId="4" fontId="16" fillId="0" borderId="1" xfId="0" applyNumberFormat="1" applyFont="1" applyFill="1" applyBorder="1" applyAlignment="1">
      <alignment horizontal="center" vertical="center"/>
    </xf>
    <xf numFmtId="164" fontId="13" fillId="0" borderId="0" xfId="0" applyNumberFormat="1" applyFont="1" applyFill="1" applyAlignment="1">
      <alignment vertical="center"/>
    </xf>
    <xf numFmtId="2" fontId="11" fillId="0" borderId="0" xfId="0" applyNumberFormat="1" applyFont="1" applyFill="1" applyAlignment="1">
      <alignment vertical="center"/>
    </xf>
    <xf numFmtId="49" fontId="19" fillId="0" borderId="1" xfId="0" applyNumberFormat="1" applyFont="1" applyBorder="1" applyAlignment="1">
      <alignment horizontal="center" vertical="center"/>
    </xf>
    <xf numFmtId="170" fontId="19" fillId="0" borderId="0" xfId="0" applyNumberFormat="1" applyFont="1" applyAlignment="1">
      <alignment vertical="center"/>
    </xf>
    <xf numFmtId="0" fontId="24" fillId="0" borderId="1" xfId="0" applyFont="1" applyBorder="1" applyAlignment="1">
      <alignment horizontal="left" vertical="center" wrapText="1"/>
    </xf>
    <xf numFmtId="0" fontId="29" fillId="0" borderId="1" xfId="0" applyFont="1" applyBorder="1" applyAlignment="1">
      <alignment vertical="center"/>
    </xf>
    <xf numFmtId="164" fontId="16" fillId="3" borderId="1" xfId="0" applyNumberFormat="1" applyFont="1" applyFill="1" applyBorder="1" applyAlignment="1">
      <alignment vertical="center" wrapText="1"/>
    </xf>
    <xf numFmtId="164" fontId="16" fillId="3" borderId="1" xfId="2" applyFont="1" applyFill="1" applyBorder="1" applyAlignment="1">
      <alignment vertical="center" wrapText="1"/>
    </xf>
    <xf numFmtId="4" fontId="16" fillId="3" borderId="1" xfId="2" applyNumberFormat="1" applyFont="1" applyFill="1" applyBorder="1" applyAlignment="1">
      <alignment vertical="center" wrapText="1"/>
    </xf>
    <xf numFmtId="164" fontId="9" fillId="3" borderId="1" xfId="0" applyNumberFormat="1" applyFont="1" applyFill="1" applyBorder="1" applyAlignment="1">
      <alignment vertical="center" wrapText="1"/>
    </xf>
    <xf numFmtId="2" fontId="28" fillId="3" borderId="0" xfId="0" applyNumberFormat="1" applyFont="1" applyFill="1" applyAlignment="1">
      <alignment horizontal="center" vertical="center"/>
    </xf>
    <xf numFmtId="0" fontId="12" fillId="0" borderId="0" xfId="0" applyFont="1" applyAlignment="1">
      <alignment horizontal="left" vertical="center"/>
    </xf>
    <xf numFmtId="164" fontId="24" fillId="0" borderId="1" xfId="0" applyNumberFormat="1" applyFont="1" applyBorder="1" applyAlignment="1">
      <alignment horizontal="left" vertical="center"/>
    </xf>
    <xf numFmtId="2" fontId="12" fillId="0" borderId="0" xfId="0" applyNumberFormat="1" applyFont="1" applyAlignment="1">
      <alignment horizontal="left" vertical="center"/>
    </xf>
    <xf numFmtId="164" fontId="19" fillId="0" borderId="1" xfId="2" applyFont="1" applyBorder="1" applyAlignment="1">
      <alignment horizontal="center" vertical="center" wrapText="1"/>
    </xf>
    <xf numFmtId="164" fontId="19" fillId="0" borderId="9" xfId="2" applyFont="1" applyBorder="1" applyAlignment="1">
      <alignment horizontal="right" vertical="center"/>
    </xf>
    <xf numFmtId="4" fontId="19" fillId="0" borderId="1" xfId="2" applyNumberFormat="1" applyFont="1" applyFill="1" applyBorder="1" applyAlignment="1">
      <alignment horizontal="center" vertical="center" wrapText="1"/>
    </xf>
    <xf numFmtId="2" fontId="19" fillId="0" borderId="1" xfId="26" applyNumberFormat="1" applyFont="1" applyBorder="1" applyAlignment="1">
      <alignment horizontal="center" vertical="center" wrapText="1"/>
    </xf>
    <xf numFmtId="164" fontId="14" fillId="0" borderId="1" xfId="2" applyFont="1" applyBorder="1" applyAlignment="1">
      <alignment horizontal="right" vertical="center"/>
    </xf>
    <xf numFmtId="49" fontId="14" fillId="0" borderId="9" xfId="26" applyNumberFormat="1" applyFont="1" applyBorder="1" applyAlignment="1">
      <alignment horizontal="center" vertical="center" wrapText="1"/>
    </xf>
    <xf numFmtId="4" fontId="14" fillId="0" borderId="1" xfId="2" applyNumberFormat="1" applyFont="1" applyFill="1" applyBorder="1" applyAlignment="1">
      <alignment horizontal="center" vertical="center" wrapText="1"/>
    </xf>
    <xf numFmtId="164" fontId="19" fillId="0" borderId="9" xfId="2" applyFont="1" applyFill="1" applyBorder="1" applyAlignment="1">
      <alignment horizontal="right" vertical="center"/>
    </xf>
    <xf numFmtId="164" fontId="14" fillId="0" borderId="9" xfId="2" applyFont="1" applyBorder="1" applyAlignment="1">
      <alignment horizontal="right" vertical="center"/>
    </xf>
    <xf numFmtId="164" fontId="31" fillId="0" borderId="9" xfId="2" applyFont="1" applyBorder="1" applyAlignment="1">
      <alignment horizontal="right" vertical="center"/>
    </xf>
    <xf numFmtId="2" fontId="14" fillId="0" borderId="9" xfId="2" applyNumberFormat="1" applyFont="1" applyBorder="1" applyAlignment="1">
      <alignment horizontal="right" vertical="center"/>
    </xf>
    <xf numFmtId="4" fontId="14" fillId="0" borderId="9" xfId="2" applyNumberFormat="1" applyFont="1" applyBorder="1" applyAlignment="1">
      <alignment horizontal="right" vertical="center"/>
    </xf>
    <xf numFmtId="4" fontId="19" fillId="0" borderId="9" xfId="2" applyNumberFormat="1" applyFont="1" applyBorder="1" applyAlignment="1">
      <alignment horizontal="right" vertical="center"/>
    </xf>
    <xf numFmtId="164" fontId="14" fillId="3" borderId="1" xfId="0" applyNumberFormat="1" applyFont="1" applyFill="1" applyBorder="1" applyAlignment="1">
      <alignment horizontal="center" vertical="center"/>
    </xf>
    <xf numFmtId="0" fontId="19" fillId="0" borderId="1" xfId="0" applyFont="1" applyBorder="1" applyAlignment="1">
      <alignment horizontal="center" vertical="center"/>
    </xf>
    <xf numFmtId="164" fontId="16" fillId="0" borderId="1" xfId="0" applyNumberFormat="1" applyFont="1" applyFill="1" applyBorder="1" applyAlignment="1">
      <alignment vertical="center" wrapText="1"/>
    </xf>
    <xf numFmtId="164" fontId="16" fillId="0" borderId="1" xfId="2" applyFont="1" applyFill="1" applyBorder="1" applyAlignment="1" applyProtection="1">
      <alignment horizontal="center" vertical="center" wrapText="1"/>
    </xf>
    <xf numFmtId="164" fontId="9" fillId="0" borderId="1" xfId="0" applyNumberFormat="1" applyFont="1" applyFill="1" applyBorder="1" applyAlignment="1">
      <alignment vertical="center" wrapText="1"/>
    </xf>
    <xf numFmtId="0" fontId="16" fillId="0" borderId="1" xfId="0" applyFont="1" applyFill="1" applyBorder="1" applyAlignment="1">
      <alignment vertical="center" wrapText="1"/>
    </xf>
    <xf numFmtId="4" fontId="16" fillId="0" borderId="1" xfId="0" applyNumberFormat="1" applyFont="1" applyFill="1" applyBorder="1" applyAlignment="1">
      <alignment vertical="center" wrapText="1"/>
    </xf>
    <xf numFmtId="0" fontId="16" fillId="0" borderId="0" xfId="0" applyFont="1" applyFill="1" applyAlignment="1">
      <alignment vertical="center" wrapText="1"/>
    </xf>
    <xf numFmtId="4" fontId="16" fillId="0" borderId="0" xfId="0" applyNumberFormat="1" applyFont="1" applyFill="1" applyAlignment="1">
      <alignment vertical="center" wrapText="1"/>
    </xf>
    <xf numFmtId="43" fontId="16" fillId="3" borderId="1" xfId="0" applyNumberFormat="1" applyFont="1" applyFill="1" applyBorder="1" applyAlignment="1">
      <alignment vertical="center" wrapText="1"/>
    </xf>
    <xf numFmtId="0" fontId="44" fillId="0" borderId="1" xfId="48" applyFont="1" applyBorder="1" applyAlignment="1">
      <alignment horizontal="left" vertical="center" wrapText="1"/>
    </xf>
    <xf numFmtId="0" fontId="44" fillId="0" borderId="1" xfId="48" applyFont="1" applyBorder="1" applyAlignment="1">
      <alignment horizontal="center" vertical="center" wrapText="1"/>
    </xf>
    <xf numFmtId="4" fontId="44" fillId="0" borderId="1" xfId="48" applyNumberFormat="1" applyFont="1" applyBorder="1" applyAlignment="1">
      <alignment horizontal="center" vertical="center" wrapText="1"/>
    </xf>
    <xf numFmtId="0" fontId="20" fillId="0" borderId="0" xfId="53" applyFont="1" applyAlignment="1">
      <alignment horizontal="center" vertical="center" wrapText="1"/>
    </xf>
    <xf numFmtId="0" fontId="20" fillId="0" borderId="3" xfId="53" applyFont="1" applyBorder="1" applyAlignment="1">
      <alignment horizontal="center" vertical="center" wrapText="1"/>
    </xf>
    <xf numFmtId="0" fontId="20" fillId="0" borderId="7" xfId="53" applyFont="1" applyBorder="1" applyAlignment="1">
      <alignment horizontal="center" vertical="center" wrapText="1"/>
    </xf>
    <xf numFmtId="0" fontId="20" fillId="0" borderId="8" xfId="53" applyFont="1" applyBorder="1" applyAlignment="1">
      <alignment horizontal="center" vertical="center" wrapText="1"/>
    </xf>
    <xf numFmtId="1" fontId="44" fillId="0" borderId="1" xfId="48" applyNumberFormat="1" applyFont="1" applyBorder="1" applyAlignment="1">
      <alignment horizontal="center" vertical="center" wrapText="1"/>
    </xf>
    <xf numFmtId="167" fontId="44" fillId="0" borderId="1" xfId="53" applyNumberFormat="1" applyFont="1" applyBorder="1" applyAlignment="1">
      <alignment horizontal="left" vertical="center" wrapText="1"/>
    </xf>
    <xf numFmtId="167" fontId="44" fillId="0" borderId="1" xfId="53" applyNumberFormat="1" applyFont="1" applyBorder="1" applyAlignment="1">
      <alignment horizontal="center" vertical="center" wrapText="1"/>
    </xf>
    <xf numFmtId="167" fontId="44" fillId="0" borderId="1" xfId="54" applyNumberFormat="1" applyFont="1" applyFill="1" applyBorder="1" applyAlignment="1">
      <alignment horizontal="center" vertical="center"/>
    </xf>
    <xf numFmtId="1" fontId="44" fillId="0" borderId="1" xfId="53" applyNumberFormat="1" applyFont="1" applyBorder="1" applyAlignment="1">
      <alignment horizontal="center" vertical="center"/>
    </xf>
    <xf numFmtId="2" fontId="44" fillId="0" borderId="1" xfId="11" applyNumberFormat="1" applyFont="1" applyBorder="1" applyAlignment="1">
      <alignment horizontal="center" vertical="center" wrapText="1"/>
    </xf>
    <xf numFmtId="0" fontId="44" fillId="0" borderId="1" xfId="53" applyFont="1" applyBorder="1" applyAlignment="1">
      <alignment horizontal="center" vertical="center" wrapText="1"/>
    </xf>
    <xf numFmtId="167" fontId="44" fillId="0" borderId="1" xfId="48" applyNumberFormat="1" applyFont="1" applyBorder="1" applyAlignment="1">
      <alignment horizontal="center" vertical="center" wrapText="1"/>
    </xf>
    <xf numFmtId="0" fontId="22" fillId="0" borderId="1" xfId="53" applyFont="1" applyBorder="1" applyAlignment="1">
      <alignment horizontal="center" vertical="center" wrapText="1"/>
    </xf>
    <xf numFmtId="0" fontId="44" fillId="0" borderId="3" xfId="53" applyFont="1" applyBorder="1" applyAlignment="1">
      <alignment horizontal="center" vertical="center" wrapText="1"/>
    </xf>
    <xf numFmtId="0" fontId="44" fillId="0" borderId="8" xfId="53" applyFont="1" applyBorder="1" applyAlignment="1">
      <alignment horizontal="center" vertical="center" wrapText="1"/>
    </xf>
    <xf numFmtId="1" fontId="44" fillId="0" borderId="1" xfId="53" applyNumberFormat="1" applyFont="1" applyBorder="1" applyAlignment="1">
      <alignment horizontal="center" vertical="center" wrapText="1"/>
    </xf>
    <xf numFmtId="0" fontId="44" fillId="0" borderId="9" xfId="53" applyFont="1" applyBorder="1" applyAlignment="1">
      <alignment horizontal="center" vertical="center" wrapText="1"/>
    </xf>
    <xf numFmtId="167" fontId="44" fillId="0" borderId="1" xfId="53" applyNumberFormat="1" applyFont="1" applyBorder="1" applyAlignment="1">
      <alignment horizontal="center" vertical="center"/>
    </xf>
    <xf numFmtId="167" fontId="44" fillId="0" borderId="3" xfId="48" applyNumberFormat="1" applyFont="1" applyBorder="1" applyAlignment="1">
      <alignment horizontal="center" vertical="center" wrapText="1"/>
    </xf>
    <xf numFmtId="167" fontId="44" fillId="0" borderId="8" xfId="48" applyNumberFormat="1" applyFont="1" applyBorder="1" applyAlignment="1">
      <alignment horizontal="center" vertical="center" wrapText="1"/>
    </xf>
    <xf numFmtId="0" fontId="44" fillId="0" borderId="1" xfId="11" applyFont="1" applyBorder="1" applyAlignment="1">
      <alignment horizontal="left" vertical="center" wrapText="1"/>
    </xf>
    <xf numFmtId="4" fontId="44" fillId="0" borderId="1" xfId="42" applyNumberFormat="1" applyFont="1" applyBorder="1" applyAlignment="1">
      <alignment horizontal="center" vertical="center" wrapText="1"/>
    </xf>
    <xf numFmtId="167" fontId="44" fillId="0" borderId="1" xfId="48" applyNumberFormat="1" applyFont="1" applyBorder="1" applyAlignment="1">
      <alignment horizontal="left" vertical="center" wrapText="1"/>
    </xf>
    <xf numFmtId="0" fontId="44" fillId="0" borderId="1" xfId="48" applyFont="1" applyBorder="1" applyAlignment="1" applyProtection="1">
      <alignment horizontal="left" vertical="center" wrapText="1"/>
      <protection locked="0"/>
    </xf>
    <xf numFmtId="167" fontId="20" fillId="0" borderId="3" xfId="48" applyNumberFormat="1" applyFont="1" applyBorder="1" applyAlignment="1">
      <alignment horizontal="center" vertical="center" wrapText="1"/>
    </xf>
    <xf numFmtId="167" fontId="20" fillId="0" borderId="8" xfId="48" applyNumberFormat="1" applyFont="1" applyBorder="1" applyAlignment="1">
      <alignment horizontal="center" vertical="center" wrapText="1"/>
    </xf>
    <xf numFmtId="4" fontId="44" fillId="0" borderId="1" xfId="11" applyNumberFormat="1" applyFont="1" applyBorder="1" applyAlignment="1">
      <alignment horizontal="center" vertical="center" wrapText="1"/>
    </xf>
    <xf numFmtId="167" fontId="44" fillId="0" borderId="1" xfId="53" applyNumberFormat="1" applyFont="1" applyBorder="1" applyAlignment="1">
      <alignment horizontal="left" vertical="center"/>
    </xf>
    <xf numFmtId="167" fontId="48" fillId="0" borderId="1" xfId="48" applyNumberFormat="1" applyFont="1" applyBorder="1" applyAlignment="1">
      <alignment horizontal="center" vertical="center" wrapText="1"/>
    </xf>
    <xf numFmtId="167" fontId="20" fillId="0" borderId="8" xfId="53" applyNumberFormat="1" applyFont="1" applyBorder="1" applyAlignment="1">
      <alignment horizontal="center" vertical="center" wrapText="1"/>
    </xf>
    <xf numFmtId="167" fontId="20" fillId="0" borderId="7" xfId="48" applyNumberFormat="1" applyFont="1" applyBorder="1" applyAlignment="1">
      <alignment horizontal="center" vertical="center" wrapText="1"/>
    </xf>
    <xf numFmtId="167" fontId="20" fillId="0" borderId="1" xfId="53" applyNumberFormat="1" applyFont="1" applyBorder="1" applyAlignment="1">
      <alignment horizontal="center" vertical="center" wrapText="1"/>
    </xf>
    <xf numFmtId="0" fontId="45" fillId="0" borderId="1" xfId="53" applyFont="1" applyBorder="1" applyAlignment="1">
      <alignment horizontal="center" vertical="center" wrapText="1"/>
    </xf>
    <xf numFmtId="167" fontId="20" fillId="0" borderId="9" xfId="53" applyNumberFormat="1" applyFont="1" applyBorder="1" applyAlignment="1">
      <alignment horizontal="center" vertical="center" wrapText="1"/>
    </xf>
    <xf numFmtId="0" fontId="40" fillId="0" borderId="0" xfId="53" applyFont="1" applyAlignment="1">
      <alignment horizontal="center" vertical="center"/>
    </xf>
    <xf numFmtId="1" fontId="45" fillId="0" borderId="1" xfId="53" applyNumberFormat="1" applyFont="1" applyBorder="1" applyAlignment="1">
      <alignment horizontal="center" vertical="center"/>
    </xf>
    <xf numFmtId="167" fontId="20" fillId="0" borderId="1" xfId="53" applyNumberFormat="1" applyFont="1" applyBorder="1" applyAlignment="1">
      <alignment horizontal="center" vertical="center"/>
    </xf>
    <xf numFmtId="164" fontId="16" fillId="0" borderId="1" xfId="2" applyFont="1" applyFill="1" applyBorder="1" applyAlignment="1">
      <alignment vertical="center" wrapText="1"/>
    </xf>
    <xf numFmtId="0" fontId="17" fillId="3" borderId="1" xfId="0" applyFont="1" applyFill="1" applyBorder="1" applyAlignment="1">
      <alignment horizontal="center" vertical="center" wrapText="1"/>
    </xf>
    <xf numFmtId="164" fontId="17" fillId="3" borderId="1" xfId="2" applyFont="1" applyFill="1" applyBorder="1" applyAlignment="1">
      <alignment horizontal="center" vertical="center" wrapText="1"/>
    </xf>
    <xf numFmtId="4" fontId="17" fillId="3" borderId="1" xfId="2" applyNumberFormat="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xf>
    <xf numFmtId="164" fontId="17" fillId="3" borderId="1" xfId="2" applyFont="1" applyFill="1" applyBorder="1" applyAlignment="1">
      <alignment vertical="center" wrapText="1"/>
    </xf>
    <xf numFmtId="0" fontId="17" fillId="0" borderId="1" xfId="0" applyFont="1" applyBorder="1" applyAlignment="1">
      <alignment vertical="center" wrapText="1"/>
    </xf>
    <xf numFmtId="164" fontId="17" fillId="2" borderId="1" xfId="2" applyFont="1" applyFill="1" applyBorder="1" applyAlignment="1">
      <alignment vertical="center" wrapText="1"/>
    </xf>
    <xf numFmtId="4" fontId="17" fillId="3" borderId="1" xfId="2" applyNumberFormat="1" applyFont="1" applyFill="1" applyBorder="1" applyAlignment="1">
      <alignment vertical="center" wrapText="1"/>
    </xf>
    <xf numFmtId="0" fontId="15" fillId="0" borderId="1" xfId="0" applyFont="1" applyBorder="1" applyAlignment="1">
      <alignment vertical="center" wrapText="1"/>
    </xf>
    <xf numFmtId="0" fontId="16" fillId="0" borderId="1" xfId="0" applyFont="1" applyBorder="1" applyAlignment="1">
      <alignment horizontal="center" vertical="center"/>
    </xf>
    <xf numFmtId="0" fontId="16" fillId="0" borderId="1" xfId="0" applyFont="1" applyBorder="1" applyAlignment="1">
      <alignment vertical="center" wrapText="1"/>
    </xf>
    <xf numFmtId="164" fontId="16" fillId="3" borderId="1" xfId="2" applyFont="1" applyFill="1" applyBorder="1" applyAlignment="1">
      <alignment horizontal="center" vertical="center" wrapText="1"/>
    </xf>
    <xf numFmtId="164" fontId="16" fillId="2" borderId="1" xfId="2" applyFont="1" applyFill="1" applyBorder="1" applyAlignment="1">
      <alignment horizontal="center" vertical="center" wrapText="1"/>
    </xf>
    <xf numFmtId="164" fontId="15" fillId="3" borderId="1" xfId="2" applyFont="1" applyFill="1" applyBorder="1" applyAlignment="1">
      <alignment vertical="center" wrapText="1"/>
    </xf>
    <xf numFmtId="43" fontId="16" fillId="2" borderId="1" xfId="2" applyNumberFormat="1" applyFont="1" applyFill="1" applyBorder="1" applyAlignment="1">
      <alignment horizontal="center" vertical="center" wrapText="1"/>
    </xf>
    <xf numFmtId="164" fontId="56" fillId="3" borderId="1" xfId="2" applyFont="1" applyFill="1" applyBorder="1" applyAlignment="1">
      <alignment vertical="center" wrapText="1"/>
    </xf>
    <xf numFmtId="0" fontId="15" fillId="0" borderId="1" xfId="0" applyFont="1" applyBorder="1" applyAlignment="1">
      <alignment horizontal="center" vertical="center"/>
    </xf>
    <xf numFmtId="43" fontId="15" fillId="2" borderId="1" xfId="2" applyNumberFormat="1" applyFont="1" applyFill="1" applyBorder="1" applyAlignment="1">
      <alignment vertical="center" wrapText="1"/>
    </xf>
    <xf numFmtId="43" fontId="17" fillId="2" borderId="1" xfId="2" applyNumberFormat="1" applyFont="1" applyFill="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49" fontId="16" fillId="0" borderId="1" xfId="0" applyNumberFormat="1" applyFont="1" applyBorder="1" applyAlignment="1">
      <alignment horizontal="center" vertical="center"/>
    </xf>
    <xf numFmtId="49" fontId="17" fillId="0" borderId="1" xfId="0" applyNumberFormat="1" applyFont="1" applyBorder="1" applyAlignment="1">
      <alignment horizontal="center" vertical="center"/>
    </xf>
    <xf numFmtId="164" fontId="17" fillId="2" borderId="1" xfId="2" applyFont="1" applyFill="1" applyBorder="1" applyAlignment="1">
      <alignment horizontal="center" vertical="center" wrapText="1"/>
    </xf>
    <xf numFmtId="164" fontId="17" fillId="0" borderId="1" xfId="2" applyFont="1" applyFill="1" applyBorder="1" applyAlignment="1">
      <alignment vertical="center" wrapText="1"/>
    </xf>
    <xf numFmtId="0" fontId="17" fillId="0" borderId="1" xfId="0" applyFont="1" applyBorder="1" applyAlignment="1">
      <alignment horizontal="center" vertical="center" wrapText="1"/>
    </xf>
    <xf numFmtId="0" fontId="19" fillId="0" borderId="1" xfId="0" applyFont="1" applyBorder="1" applyAlignment="1">
      <alignment horizontal="center" vertical="center"/>
    </xf>
    <xf numFmtId="0" fontId="24" fillId="0" borderId="0" xfId="0" applyFont="1" applyAlignment="1">
      <alignment horizontal="right" vertical="center"/>
    </xf>
    <xf numFmtId="0" fontId="19" fillId="0" borderId="1" xfId="26" applyFont="1" applyBorder="1" applyAlignment="1">
      <alignment horizontal="center" vertical="center" wrapText="1"/>
    </xf>
    <xf numFmtId="167" fontId="57" fillId="6" borderId="9" xfId="48" applyNumberFormat="1" applyFont="1" applyFill="1" applyBorder="1" applyAlignment="1">
      <alignment horizontal="center" vertical="center" wrapText="1"/>
    </xf>
    <xf numFmtId="0" fontId="44" fillId="0" borderId="0" xfId="53" applyFont="1" applyAlignment="1">
      <alignment horizontal="center" vertical="center"/>
    </xf>
    <xf numFmtId="167" fontId="48" fillId="0" borderId="1" xfId="57" applyNumberFormat="1" applyFont="1" applyBorder="1" applyAlignment="1">
      <alignment horizontal="center" vertical="center" wrapText="1"/>
    </xf>
    <xf numFmtId="0" fontId="48" fillId="0" borderId="1" xfId="57" applyFont="1" applyBorder="1" applyAlignment="1">
      <alignment horizontal="center" vertical="center" wrapText="1"/>
    </xf>
    <xf numFmtId="0" fontId="48" fillId="0" borderId="0" xfId="53" applyFont="1" applyAlignment="1">
      <alignment horizontal="center" vertical="center"/>
    </xf>
    <xf numFmtId="0" fontId="44" fillId="0" borderId="1" xfId="57" applyFont="1" applyBorder="1" applyAlignment="1">
      <alignment horizontal="center" vertical="center" wrapText="1"/>
    </xf>
    <xf numFmtId="167" fontId="44" fillId="0" borderId="1" xfId="57" applyNumberFormat="1" applyFont="1" applyBorder="1" applyAlignment="1">
      <alignment horizontal="center" vertical="center" wrapText="1"/>
    </xf>
    <xf numFmtId="2" fontId="44" fillId="0" borderId="1" xfId="57" applyNumberFormat="1" applyFont="1" applyBorder="1" applyAlignment="1">
      <alignment horizontal="center" vertical="center" wrapText="1"/>
    </xf>
    <xf numFmtId="1" fontId="57" fillId="6" borderId="1" xfId="53" applyNumberFormat="1" applyFont="1" applyFill="1" applyBorder="1" applyAlignment="1">
      <alignment horizontal="center" vertical="center"/>
    </xf>
    <xf numFmtId="167" fontId="57" fillId="6" borderId="1" xfId="53" applyNumberFormat="1" applyFont="1" applyFill="1" applyBorder="1" applyAlignment="1">
      <alignment horizontal="left" vertical="center"/>
    </xf>
    <xf numFmtId="167" fontId="57" fillId="6" borderId="1" xfId="53" applyNumberFormat="1" applyFont="1" applyFill="1" applyBorder="1" applyAlignment="1">
      <alignment horizontal="center" vertical="center"/>
    </xf>
    <xf numFmtId="4" fontId="57" fillId="6" borderId="1" xfId="42" applyNumberFormat="1" applyFont="1" applyFill="1" applyBorder="1" applyAlignment="1">
      <alignment horizontal="center" vertical="center" wrapText="1"/>
    </xf>
    <xf numFmtId="0" fontId="57" fillId="6" borderId="1" xfId="57" applyFont="1" applyFill="1" applyBorder="1" applyAlignment="1">
      <alignment horizontal="center" vertical="center" wrapText="1"/>
    </xf>
    <xf numFmtId="167" fontId="57" fillId="6" borderId="1" xfId="57" applyNumberFormat="1" applyFont="1" applyFill="1" applyBorder="1" applyAlignment="1">
      <alignment horizontal="center" vertical="center" wrapText="1"/>
    </xf>
    <xf numFmtId="0" fontId="57" fillId="6" borderId="1" xfId="48" applyFont="1" applyFill="1" applyBorder="1" applyAlignment="1">
      <alignment horizontal="center" vertical="center" wrapText="1"/>
    </xf>
    <xf numFmtId="0" fontId="58" fillId="6" borderId="1" xfId="53" applyFont="1" applyFill="1" applyBorder="1"/>
    <xf numFmtId="167" fontId="57" fillId="6" borderId="9" xfId="53" applyNumberFormat="1" applyFont="1" applyFill="1" applyBorder="1" applyAlignment="1">
      <alignment horizontal="center" vertical="center" wrapText="1"/>
    </xf>
    <xf numFmtId="167" fontId="59" fillId="6" borderId="1" xfId="53" applyNumberFormat="1" applyFont="1" applyFill="1" applyBorder="1" applyAlignment="1">
      <alignment horizontal="center" vertical="center" wrapText="1"/>
    </xf>
    <xf numFmtId="167" fontId="57" fillId="6" borderId="1" xfId="53" applyNumberFormat="1" applyFont="1" applyFill="1" applyBorder="1" applyAlignment="1">
      <alignment horizontal="center" vertical="center" wrapText="1"/>
    </xf>
    <xf numFmtId="167" fontId="60" fillId="6" borderId="1" xfId="53" applyNumberFormat="1" applyFont="1" applyFill="1" applyBorder="1" applyAlignment="1">
      <alignment horizontal="center" vertical="center"/>
    </xf>
    <xf numFmtId="0" fontId="56" fillId="6" borderId="1" xfId="53" applyFont="1" applyFill="1" applyBorder="1"/>
    <xf numFmtId="0" fontId="57" fillId="6" borderId="0" xfId="53" applyFont="1" applyFill="1" applyAlignment="1">
      <alignment horizontal="center" vertical="center"/>
    </xf>
    <xf numFmtId="0" fontId="58" fillId="6" borderId="0" xfId="53" applyFont="1" applyFill="1"/>
    <xf numFmtId="167" fontId="57" fillId="6" borderId="1" xfId="53" applyNumberFormat="1" applyFont="1" applyFill="1" applyBorder="1" applyAlignment="1">
      <alignment horizontal="left" vertical="center" wrapText="1"/>
    </xf>
    <xf numFmtId="0" fontId="44" fillId="0" borderId="1" xfId="58" applyFont="1" applyBorder="1" applyAlignment="1">
      <alignment horizontal="center" vertical="center" wrapText="1"/>
    </xf>
    <xf numFmtId="0" fontId="44" fillId="0" borderId="9" xfId="58" applyFont="1" applyBorder="1" applyAlignment="1">
      <alignment horizontal="center" vertical="center" wrapText="1"/>
    </xf>
    <xf numFmtId="0" fontId="22" fillId="0" borderId="1" xfId="58" applyFont="1" applyBorder="1" applyAlignment="1">
      <alignment horizontal="center" vertical="center" wrapText="1"/>
    </xf>
    <xf numFmtId="167" fontId="44" fillId="0" borderId="1" xfId="58" applyNumberFormat="1" applyFont="1" applyBorder="1" applyAlignment="1">
      <alignment horizontal="center" vertical="center" wrapText="1"/>
    </xf>
    <xf numFmtId="167" fontId="44" fillId="0" borderId="9" xfId="58" applyNumberFormat="1" applyFont="1" applyBorder="1" applyAlignment="1">
      <alignment horizontal="center" vertical="center" wrapText="1"/>
    </xf>
    <xf numFmtId="167" fontId="22" fillId="0" borderId="1" xfId="58" applyNumberFormat="1" applyFont="1" applyBorder="1" applyAlignment="1">
      <alignment horizontal="center" vertical="center" wrapText="1"/>
    </xf>
    <xf numFmtId="167" fontId="45" fillId="0" borderId="1" xfId="57" applyNumberFormat="1" applyFont="1" applyBorder="1" applyAlignment="1">
      <alignment horizontal="center" vertical="center" wrapText="1"/>
    </xf>
    <xf numFmtId="0" fontId="45" fillId="0" borderId="1" xfId="57" applyFont="1" applyBorder="1" applyAlignment="1">
      <alignment horizontal="center" vertical="center" wrapText="1"/>
    </xf>
    <xf numFmtId="0" fontId="45" fillId="0" borderId="0" xfId="53" applyFont="1" applyAlignment="1">
      <alignment horizontal="center" vertical="center"/>
    </xf>
    <xf numFmtId="167" fontId="46" fillId="0" borderId="1" xfId="57" applyNumberFormat="1" applyFont="1" applyBorder="1" applyAlignment="1">
      <alignment horizontal="center" vertical="center" wrapText="1"/>
    </xf>
    <xf numFmtId="0" fontId="46" fillId="0" borderId="1" xfId="57" applyFont="1" applyBorder="1" applyAlignment="1">
      <alignment horizontal="center" vertical="center" wrapText="1"/>
    </xf>
    <xf numFmtId="0" fontId="46" fillId="0" borderId="0" xfId="53" applyFont="1" applyAlignment="1">
      <alignment horizontal="center" vertical="center"/>
    </xf>
    <xf numFmtId="1" fontId="57" fillId="6" borderId="1" xfId="48" applyNumberFormat="1" applyFont="1" applyFill="1" applyBorder="1" applyAlignment="1">
      <alignment horizontal="center" vertical="center" wrapText="1"/>
    </xf>
    <xf numFmtId="0" fontId="57" fillId="6" borderId="1" xfId="48" applyFont="1" applyFill="1" applyBorder="1" applyAlignment="1">
      <alignment horizontal="left" vertical="center" wrapText="1"/>
    </xf>
    <xf numFmtId="4" fontId="57" fillId="6" borderId="1" xfId="48" applyNumberFormat="1" applyFont="1" applyFill="1" applyBorder="1" applyAlignment="1">
      <alignment horizontal="center" vertical="center" wrapText="1"/>
    </xf>
    <xf numFmtId="167" fontId="57" fillId="6" borderId="1" xfId="48" applyNumberFormat="1" applyFont="1" applyFill="1" applyBorder="1" applyAlignment="1">
      <alignment horizontal="center" vertical="center" wrapText="1"/>
    </xf>
    <xf numFmtId="167" fontId="59" fillId="6" borderId="1" xfId="48" applyNumberFormat="1" applyFont="1" applyFill="1" applyBorder="1" applyAlignment="1">
      <alignment horizontal="center" vertical="center" wrapText="1"/>
    </xf>
    <xf numFmtId="0" fontId="57" fillId="6" borderId="1" xfId="53" applyFont="1" applyFill="1" applyBorder="1" applyAlignment="1">
      <alignment horizontal="center" vertical="center" wrapText="1"/>
    </xf>
    <xf numFmtId="167" fontId="60" fillId="6" borderId="1" xfId="48" applyNumberFormat="1" applyFont="1" applyFill="1" applyBorder="1" applyAlignment="1">
      <alignment horizontal="center" vertical="center" wrapText="1"/>
    </xf>
    <xf numFmtId="1" fontId="44" fillId="6" borderId="11" xfId="48" applyNumberFormat="1" applyFont="1" applyFill="1" applyBorder="1" applyAlignment="1">
      <alignment horizontal="center" vertical="center" wrapText="1"/>
    </xf>
    <xf numFmtId="0" fontId="61" fillId="6" borderId="1" xfId="0" applyFont="1" applyFill="1" applyBorder="1" applyAlignment="1">
      <alignment vertical="center" wrapText="1"/>
    </xf>
    <xf numFmtId="0" fontId="44" fillId="6" borderId="1" xfId="48" applyFont="1" applyFill="1" applyBorder="1" applyAlignment="1">
      <alignment horizontal="center" vertical="center" wrapText="1"/>
    </xf>
    <xf numFmtId="167" fontId="44" fillId="6" borderId="9" xfId="57" applyNumberFormat="1" applyFont="1" applyFill="1" applyBorder="1" applyAlignment="1">
      <alignment horizontal="center" vertical="center" wrapText="1"/>
    </xf>
    <xf numFmtId="0" fontId="44" fillId="6" borderId="1" xfId="57" applyFont="1" applyFill="1" applyBorder="1" applyAlignment="1">
      <alignment horizontal="center" vertical="center" wrapText="1"/>
    </xf>
    <xf numFmtId="4" fontId="44" fillId="6" borderId="1" xfId="42" applyNumberFormat="1" applyFont="1" applyFill="1" applyBorder="1" applyAlignment="1">
      <alignment horizontal="center" vertical="center" wrapText="1"/>
    </xf>
    <xf numFmtId="167" fontId="44" fillId="6" borderId="1" xfId="48" applyNumberFormat="1" applyFont="1" applyFill="1" applyBorder="1" applyAlignment="1">
      <alignment horizontal="center" vertical="center" wrapText="1"/>
    </xf>
    <xf numFmtId="167" fontId="44" fillId="6" borderId="9" xfId="48" applyNumberFormat="1" applyFont="1" applyFill="1" applyBorder="1" applyAlignment="1">
      <alignment horizontal="center" vertical="center" wrapText="1"/>
    </xf>
    <xf numFmtId="0" fontId="44" fillId="6" borderId="1" xfId="53" applyFont="1" applyFill="1" applyBorder="1" applyAlignment="1">
      <alignment horizontal="center" vertical="center" wrapText="1"/>
    </xf>
    <xf numFmtId="0" fontId="45" fillId="6" borderId="1" xfId="53" applyFont="1" applyFill="1" applyBorder="1" applyAlignment="1">
      <alignment horizontal="center" vertical="center" wrapText="1"/>
    </xf>
    <xf numFmtId="0" fontId="44" fillId="6" borderId="0" xfId="53" applyFont="1" applyFill="1" applyAlignment="1">
      <alignment horizontal="center" vertical="center"/>
    </xf>
    <xf numFmtId="0" fontId="55" fillId="6" borderId="0" xfId="53" applyFont="1" applyFill="1"/>
    <xf numFmtId="0" fontId="62" fillId="6" borderId="1" xfId="0" applyFont="1" applyFill="1" applyBorder="1" applyAlignment="1">
      <alignment horizontal="center" vertical="center" wrapText="1"/>
    </xf>
    <xf numFmtId="0" fontId="63" fillId="0" borderId="1" xfId="0" applyFont="1" applyBorder="1" applyAlignment="1">
      <alignment vertical="center" wrapText="1"/>
    </xf>
    <xf numFmtId="1" fontId="44" fillId="0" borderId="1" xfId="48" applyNumberFormat="1" applyFont="1" applyFill="1" applyBorder="1" applyAlignment="1">
      <alignment horizontal="center" vertical="center" wrapText="1"/>
    </xf>
    <xf numFmtId="0" fontId="44" fillId="0" borderId="1" xfId="48" applyFont="1" applyFill="1" applyBorder="1" applyAlignment="1">
      <alignment horizontal="left" vertical="center" wrapText="1"/>
    </xf>
    <xf numFmtId="0" fontId="44" fillId="0" borderId="1" xfId="48" applyFont="1" applyFill="1" applyBorder="1" applyAlignment="1">
      <alignment horizontal="center" vertical="center" wrapText="1"/>
    </xf>
    <xf numFmtId="4" fontId="44" fillId="0" borderId="1" xfId="42" applyNumberFormat="1" applyFont="1" applyFill="1" applyBorder="1" applyAlignment="1">
      <alignment horizontal="center" vertical="center" wrapText="1"/>
    </xf>
    <xf numFmtId="4" fontId="44" fillId="0" borderId="1" xfId="11" applyNumberFormat="1" applyFont="1" applyFill="1" applyBorder="1" applyAlignment="1">
      <alignment horizontal="center" vertical="center" wrapText="1"/>
    </xf>
    <xf numFmtId="167" fontId="44" fillId="0" borderId="1" xfId="57" applyNumberFormat="1" applyFont="1" applyFill="1" applyBorder="1" applyAlignment="1">
      <alignment horizontal="center" vertical="center" wrapText="1"/>
    </xf>
    <xf numFmtId="0" fontId="44" fillId="0" borderId="1" xfId="57" applyFont="1" applyFill="1" applyBorder="1" applyAlignment="1">
      <alignment horizontal="center" vertical="center" wrapText="1"/>
    </xf>
    <xf numFmtId="0" fontId="44" fillId="0" borderId="1" xfId="53" applyFont="1" applyFill="1" applyBorder="1" applyAlignment="1">
      <alignment horizontal="center" vertical="center" wrapText="1"/>
    </xf>
    <xf numFmtId="0" fontId="44" fillId="0" borderId="9" xfId="53" applyFont="1" applyFill="1" applyBorder="1" applyAlignment="1">
      <alignment horizontal="center" vertical="center" wrapText="1"/>
    </xf>
    <xf numFmtId="0" fontId="22" fillId="0" borderId="1" xfId="53" applyFont="1" applyFill="1" applyBorder="1" applyAlignment="1">
      <alignment horizontal="center" vertical="center" wrapText="1"/>
    </xf>
    <xf numFmtId="0" fontId="20" fillId="0" borderId="1" xfId="53" applyFont="1" applyFill="1" applyBorder="1" applyAlignment="1">
      <alignment horizontal="center" vertical="center" wrapText="1"/>
    </xf>
    <xf numFmtId="0" fontId="44" fillId="0" borderId="0" xfId="53" applyFont="1" applyFill="1" applyAlignment="1">
      <alignment horizontal="center" vertical="center"/>
    </xf>
    <xf numFmtId="0" fontId="50" fillId="0" borderId="0" xfId="53" applyFont="1" applyFill="1"/>
    <xf numFmtId="0" fontId="20" fillId="0" borderId="1" xfId="58" applyFont="1" applyBorder="1" applyAlignment="1">
      <alignment horizontal="center" vertical="center" wrapText="1"/>
    </xf>
    <xf numFmtId="0" fontId="57" fillId="6" borderId="1" xfId="0" applyFont="1" applyFill="1" applyBorder="1" applyAlignment="1">
      <alignment vertical="center" wrapText="1"/>
    </xf>
    <xf numFmtId="0" fontId="57" fillId="6" borderId="1" xfId="0" applyFont="1" applyFill="1" applyBorder="1" applyAlignment="1">
      <alignment horizontal="center" vertical="center" wrapText="1"/>
    </xf>
    <xf numFmtId="167" fontId="57" fillId="6" borderId="9" xfId="57" applyNumberFormat="1" applyFont="1" applyFill="1" applyBorder="1" applyAlignment="1">
      <alignment horizontal="center" vertical="center" wrapText="1"/>
    </xf>
    <xf numFmtId="0" fontId="57" fillId="6" borderId="9" xfId="53" applyFont="1" applyFill="1" applyBorder="1" applyAlignment="1">
      <alignment horizontal="center" vertical="center" wrapText="1"/>
    </xf>
    <xf numFmtId="0" fontId="64" fillId="6" borderId="1" xfId="53" applyFont="1" applyFill="1" applyBorder="1" applyAlignment="1">
      <alignment horizontal="center" vertical="center" wrapText="1"/>
    </xf>
    <xf numFmtId="0" fontId="57" fillId="6" borderId="0" xfId="53" applyFont="1" applyFill="1" applyAlignment="1">
      <alignment horizontal="center" vertical="center" wrapText="1"/>
    </xf>
    <xf numFmtId="0" fontId="65" fillId="6" borderId="0" xfId="53" applyFont="1" applyFill="1"/>
    <xf numFmtId="1" fontId="57" fillId="6" borderId="8" xfId="48" applyNumberFormat="1" applyFont="1" applyFill="1" applyBorder="1" applyAlignment="1">
      <alignment horizontal="center" vertical="center" wrapText="1"/>
    </xf>
    <xf numFmtId="0" fontId="60" fillId="6" borderId="1" xfId="53" applyFont="1" applyFill="1" applyBorder="1" applyAlignment="1">
      <alignment horizontal="center" vertical="center" wrapText="1"/>
    </xf>
    <xf numFmtId="0" fontId="45" fillId="0" borderId="8" xfId="53" applyFont="1" applyBorder="1" applyAlignment="1">
      <alignment horizontal="center" vertical="center"/>
    </xf>
    <xf numFmtId="0" fontId="45" fillId="0" borderId="8" xfId="48" applyFont="1" applyBorder="1" applyAlignment="1">
      <alignment horizontal="left" vertical="center" wrapText="1"/>
    </xf>
    <xf numFmtId="0" fontId="45" fillId="0" borderId="8" xfId="48" applyFont="1" applyBorder="1" applyAlignment="1">
      <alignment horizontal="center" vertical="center" wrapText="1"/>
    </xf>
    <xf numFmtId="4" fontId="44" fillId="0" borderId="8" xfId="42" applyNumberFormat="1" applyFont="1" applyBorder="1" applyAlignment="1">
      <alignment horizontal="center" vertical="center" wrapText="1"/>
    </xf>
    <xf numFmtId="0" fontId="57" fillId="6" borderId="1" xfId="11" applyFont="1" applyFill="1" applyBorder="1" applyAlignment="1">
      <alignment horizontal="left" vertical="center" wrapText="1"/>
    </xf>
    <xf numFmtId="0" fontId="57" fillId="6" borderId="1" xfId="11" applyFont="1" applyFill="1" applyBorder="1" applyAlignment="1">
      <alignment horizontal="center" vertical="center" wrapText="1"/>
    </xf>
    <xf numFmtId="167" fontId="57" fillId="6" borderId="8" xfId="48" applyNumberFormat="1" applyFont="1" applyFill="1" applyBorder="1" applyAlignment="1">
      <alignment horizontal="center" vertical="center" wrapText="1"/>
    </xf>
    <xf numFmtId="1" fontId="45" fillId="0" borderId="1" xfId="58" applyNumberFormat="1" applyFont="1" applyBorder="1" applyAlignment="1">
      <alignment horizontal="center" vertical="center"/>
    </xf>
    <xf numFmtId="0" fontId="57" fillId="6" borderId="1" xfId="48" applyFont="1" applyFill="1" applyBorder="1" applyAlignment="1">
      <alignment horizontal="justify" vertical="center" wrapText="1"/>
    </xf>
    <xf numFmtId="169" fontId="44" fillId="0" borderId="1" xfId="57" applyNumberFormat="1" applyFont="1" applyBorder="1" applyAlignment="1">
      <alignment horizontal="center" vertical="center" wrapText="1"/>
    </xf>
    <xf numFmtId="0" fontId="45" fillId="0" borderId="1" xfId="58" applyFont="1" applyFill="1" applyBorder="1" applyAlignment="1">
      <alignment horizontal="center" vertical="center" wrapText="1"/>
    </xf>
    <xf numFmtId="0" fontId="45" fillId="0" borderId="1" xfId="58" applyFont="1" applyFill="1" applyBorder="1" applyAlignment="1">
      <alignment horizontal="left" vertical="center" wrapText="1"/>
    </xf>
    <xf numFmtId="167" fontId="44" fillId="4" borderId="1" xfId="57" applyNumberFormat="1" applyFont="1" applyFill="1" applyBorder="1" applyAlignment="1">
      <alignment horizontal="center" vertical="center" wrapText="1"/>
    </xf>
    <xf numFmtId="0" fontId="44" fillId="4" borderId="1" xfId="57" applyFont="1" applyFill="1" applyBorder="1" applyAlignment="1">
      <alignment horizontal="center" vertical="center" wrapText="1"/>
    </xf>
    <xf numFmtId="0" fontId="44" fillId="4" borderId="0" xfId="53" applyFont="1" applyFill="1" applyAlignment="1">
      <alignment horizontal="center" vertical="center"/>
    </xf>
    <xf numFmtId="0" fontId="44" fillId="0" borderId="1" xfId="58" applyFont="1" applyBorder="1" applyAlignment="1">
      <alignment horizontal="left" vertical="center" wrapText="1"/>
    </xf>
    <xf numFmtId="1" fontId="57" fillId="6" borderId="11" xfId="48" applyNumberFormat="1" applyFont="1" applyFill="1" applyBorder="1" applyAlignment="1">
      <alignment horizontal="center" vertical="center" wrapText="1"/>
    </xf>
    <xf numFmtId="0" fontId="57" fillId="6" borderId="8" xfId="0" applyFont="1" applyFill="1" applyBorder="1" applyAlignment="1">
      <alignment vertical="center" wrapText="1"/>
    </xf>
    <xf numFmtId="2" fontId="57" fillId="6" borderId="8" xfId="0" applyNumberFormat="1" applyFont="1" applyFill="1" applyBorder="1" applyAlignment="1">
      <alignment horizontal="center" vertical="center" wrapText="1"/>
    </xf>
    <xf numFmtId="0" fontId="65" fillId="6" borderId="1" xfId="53" applyFont="1" applyFill="1" applyBorder="1"/>
    <xf numFmtId="0" fontId="57" fillId="6" borderId="8" xfId="48" applyFont="1" applyFill="1" applyBorder="1" applyAlignment="1">
      <alignment horizontal="center" vertical="center" wrapText="1"/>
    </xf>
    <xf numFmtId="0" fontId="45" fillId="0" borderId="8" xfId="58" applyFont="1" applyBorder="1" applyAlignment="1">
      <alignment horizontal="center" vertical="center" wrapText="1"/>
    </xf>
    <xf numFmtId="0" fontId="45" fillId="0" borderId="8" xfId="58" applyFont="1" applyBorder="1" applyAlignment="1">
      <alignment horizontal="left" vertical="center" wrapText="1"/>
    </xf>
    <xf numFmtId="0" fontId="44" fillId="0" borderId="1" xfId="59" applyFont="1" applyBorder="1" applyAlignment="1">
      <alignment horizontal="center" vertical="center" wrapText="1"/>
    </xf>
    <xf numFmtId="0" fontId="57" fillId="6" borderId="1" xfId="59" applyFont="1" applyFill="1" applyBorder="1" applyAlignment="1">
      <alignment horizontal="center" vertical="center" wrapText="1"/>
    </xf>
    <xf numFmtId="4" fontId="57" fillId="6" borderId="1" xfId="11" applyNumberFormat="1" applyFont="1" applyFill="1" applyBorder="1" applyAlignment="1">
      <alignment horizontal="center" vertical="center" wrapText="1"/>
    </xf>
    <xf numFmtId="0" fontId="59" fillId="6" borderId="3" xfId="53" applyFont="1" applyFill="1" applyBorder="1" applyAlignment="1">
      <alignment horizontal="center" vertical="center" wrapText="1"/>
    </xf>
    <xf numFmtId="0" fontId="57" fillId="6" borderId="3" xfId="53" applyFont="1" applyFill="1" applyBorder="1" applyAlignment="1">
      <alignment horizontal="center" vertical="center" wrapText="1"/>
    </xf>
    <xf numFmtId="0" fontId="57" fillId="6" borderId="10" xfId="53" applyFont="1" applyFill="1" applyBorder="1" applyAlignment="1">
      <alignment horizontal="center" vertical="center" wrapText="1"/>
    </xf>
    <xf numFmtId="0" fontId="44" fillId="0" borderId="9" xfId="59" applyFont="1" applyBorder="1" applyAlignment="1">
      <alignment horizontal="center" vertical="center" wrapText="1"/>
    </xf>
    <xf numFmtId="0" fontId="22" fillId="0" borderId="1" xfId="59" applyFont="1" applyBorder="1" applyAlignment="1">
      <alignment horizontal="center" vertical="center" wrapText="1"/>
    </xf>
    <xf numFmtId="0" fontId="20" fillId="0" borderId="1" xfId="58" applyFont="1" applyBorder="1" applyAlignment="1">
      <alignment horizontal="center" vertical="center"/>
    </xf>
    <xf numFmtId="0" fontId="44" fillId="0" borderId="0" xfId="58" applyFont="1" applyAlignment="1">
      <alignment horizontal="center" vertical="center"/>
    </xf>
    <xf numFmtId="0" fontId="50" fillId="0" borderId="0" xfId="58" applyFont="1"/>
    <xf numFmtId="0" fontId="57" fillId="6" borderId="1" xfId="48" applyFont="1" applyFill="1" applyBorder="1" applyAlignment="1" applyProtection="1">
      <alignment horizontal="left" vertical="center" wrapText="1"/>
      <protection locked="0"/>
    </xf>
    <xf numFmtId="0" fontId="57" fillId="6" borderId="1" xfId="58" applyFont="1" applyFill="1" applyBorder="1" applyAlignment="1">
      <alignment horizontal="center" vertical="center" wrapText="1"/>
    </xf>
    <xf numFmtId="0" fontId="57" fillId="6" borderId="9" xfId="58" applyFont="1" applyFill="1" applyBorder="1" applyAlignment="1">
      <alignment horizontal="center" vertical="center" wrapText="1"/>
    </xf>
    <xf numFmtId="0" fontId="59" fillId="6" borderId="1" xfId="58" applyFont="1" applyFill="1" applyBorder="1" applyAlignment="1">
      <alignment horizontal="center" vertical="center" wrapText="1"/>
    </xf>
    <xf numFmtId="0" fontId="60" fillId="6" borderId="1" xfId="58" applyFont="1" applyFill="1" applyBorder="1" applyAlignment="1">
      <alignment horizontal="center" vertical="center"/>
    </xf>
    <xf numFmtId="0" fontId="57" fillId="6" borderId="0" xfId="58" applyFont="1" applyFill="1" applyAlignment="1">
      <alignment horizontal="center" vertical="center"/>
    </xf>
    <xf numFmtId="0" fontId="58" fillId="6" borderId="0" xfId="58" applyFont="1" applyFill="1"/>
    <xf numFmtId="0" fontId="45" fillId="0" borderId="1" xfId="58" applyFont="1" applyBorder="1" applyAlignment="1">
      <alignment horizontal="center" vertical="center" wrapText="1"/>
    </xf>
    <xf numFmtId="0" fontId="45" fillId="0" borderId="1" xfId="58" applyFont="1" applyBorder="1" applyAlignment="1">
      <alignment horizontal="left" vertical="center" wrapText="1"/>
    </xf>
    <xf numFmtId="0" fontId="46" fillId="0" borderId="1" xfId="58" applyFont="1" applyBorder="1" applyAlignment="1">
      <alignment horizontal="center" vertical="center" wrapText="1"/>
    </xf>
    <xf numFmtId="0" fontId="46" fillId="0" borderId="1" xfId="58" applyFont="1" applyBorder="1" applyAlignment="1">
      <alignment horizontal="left" vertical="center" wrapText="1"/>
    </xf>
    <xf numFmtId="0" fontId="44" fillId="0" borderId="1" xfId="60" applyFont="1" applyBorder="1" applyAlignment="1">
      <alignment horizontal="center" vertical="center" wrapText="1"/>
    </xf>
    <xf numFmtId="0" fontId="44" fillId="0" borderId="9" xfId="60" applyFont="1" applyBorder="1" applyAlignment="1">
      <alignment horizontal="center" vertical="center" wrapText="1"/>
    </xf>
    <xf numFmtId="0" fontId="57" fillId="6" borderId="8" xfId="0" applyFont="1" applyFill="1" applyBorder="1" applyAlignment="1">
      <alignment horizontal="center" vertical="center" wrapText="1"/>
    </xf>
    <xf numFmtId="4" fontId="44" fillId="0" borderId="1" xfId="58" applyNumberFormat="1" applyFont="1" applyBorder="1" applyAlignment="1">
      <alignment horizontal="center" vertical="center" wrapText="1"/>
    </xf>
    <xf numFmtId="4" fontId="44" fillId="0" borderId="9" xfId="58" applyNumberFormat="1" applyFont="1" applyBorder="1" applyAlignment="1">
      <alignment horizontal="center" vertical="center" wrapText="1"/>
    </xf>
    <xf numFmtId="4" fontId="22" fillId="0" borderId="1" xfId="58" applyNumberFormat="1" applyFont="1" applyBorder="1" applyAlignment="1">
      <alignment horizontal="center" vertical="center" wrapText="1"/>
    </xf>
    <xf numFmtId="0" fontId="66" fillId="3" borderId="1" xfId="60" applyFont="1" applyFill="1" applyBorder="1" applyAlignment="1">
      <alignment vertical="center" wrapText="1"/>
    </xf>
    <xf numFmtId="0" fontId="44" fillId="0" borderId="1" xfId="58" applyFont="1" applyBorder="1" applyAlignment="1">
      <alignment horizontal="center" vertical="center"/>
    </xf>
    <xf numFmtId="2" fontId="44" fillId="0" borderId="1" xfId="58" applyNumberFormat="1" applyFont="1" applyBorder="1" applyAlignment="1">
      <alignment horizontal="center" vertical="center"/>
    </xf>
    <xf numFmtId="0" fontId="67" fillId="6" borderId="1" xfId="0" applyFont="1" applyFill="1" applyBorder="1" applyAlignment="1">
      <alignment vertical="center" wrapText="1"/>
    </xf>
    <xf numFmtId="4" fontId="57" fillId="0" borderId="1" xfId="42" applyNumberFormat="1" applyFont="1" applyBorder="1" applyAlignment="1">
      <alignment horizontal="center" vertical="center" wrapText="1"/>
    </xf>
    <xf numFmtId="4" fontId="57" fillId="0" borderId="1" xfId="11" applyNumberFormat="1" applyFont="1" applyBorder="1" applyAlignment="1">
      <alignment horizontal="center" vertical="center" wrapText="1"/>
    </xf>
    <xf numFmtId="167" fontId="57" fillId="0" borderId="1" xfId="57" applyNumberFormat="1" applyFont="1" applyBorder="1" applyAlignment="1">
      <alignment horizontal="center" vertical="center" wrapText="1"/>
    </xf>
    <xf numFmtId="0" fontId="60" fillId="6" borderId="3" xfId="53" applyFont="1" applyFill="1" applyBorder="1" applyAlignment="1">
      <alignment horizontal="center" vertical="center" wrapText="1"/>
    </xf>
    <xf numFmtId="167" fontId="44" fillId="5" borderId="1" xfId="57" applyNumberFormat="1" applyFont="1" applyFill="1" applyBorder="1" applyAlignment="1">
      <alignment horizontal="center" vertical="center" wrapText="1"/>
    </xf>
    <xf numFmtId="0" fontId="44" fillId="0" borderId="0" xfId="0" applyFont="1" applyAlignment="1">
      <alignment horizontal="center" vertical="center"/>
    </xf>
    <xf numFmtId="167" fontId="48" fillId="0" borderId="1" xfId="48" applyNumberFormat="1" applyFont="1" applyBorder="1" applyAlignment="1">
      <alignment horizontal="center" vertical="center" wrapText="1"/>
    </xf>
    <xf numFmtId="0" fontId="11" fillId="0" borderId="0" xfId="26" applyFont="1" applyAlignment="1">
      <alignment vertical="center"/>
    </xf>
    <xf numFmtId="0" fontId="13" fillId="0" borderId="0" xfId="26" applyFont="1" applyAlignment="1">
      <alignment vertical="center"/>
    </xf>
    <xf numFmtId="0" fontId="13" fillId="0" borderId="0" xfId="26" applyFont="1" applyAlignment="1">
      <alignment horizontal="right" vertical="center"/>
    </xf>
    <xf numFmtId="0" fontId="22" fillId="0" borderId="0" xfId="0" applyFont="1" applyAlignment="1">
      <alignment horizontal="right" vertical="center"/>
    </xf>
    <xf numFmtId="165" fontId="19" fillId="0" borderId="1" xfId="0" applyNumberFormat="1" applyFont="1" applyBorder="1" applyAlignment="1">
      <alignment horizontal="center" vertical="center"/>
    </xf>
    <xf numFmtId="165" fontId="14" fillId="0" borderId="1" xfId="0" applyNumberFormat="1" applyFont="1" applyBorder="1" applyAlignment="1">
      <alignment horizontal="center" vertical="center"/>
    </xf>
    <xf numFmtId="4" fontId="14" fillId="0" borderId="1" xfId="0" applyNumberFormat="1" applyFont="1" applyBorder="1" applyAlignment="1">
      <alignment horizontal="right" vertical="center"/>
    </xf>
    <xf numFmtId="165" fontId="20" fillId="0" borderId="0" xfId="0" applyNumberFormat="1" applyFont="1" applyAlignment="1">
      <alignment horizontal="center" vertical="center"/>
    </xf>
    <xf numFmtId="165" fontId="22" fillId="0" borderId="0" xfId="61" applyFont="1" applyFill="1" applyAlignment="1">
      <alignment vertical="center"/>
    </xf>
    <xf numFmtId="4" fontId="20" fillId="3" borderId="0" xfId="61" applyNumberFormat="1" applyFont="1" applyFill="1" applyAlignment="1">
      <alignment horizontal="center" vertical="center"/>
    </xf>
    <xf numFmtId="177" fontId="14" fillId="0" borderId="1" xfId="0" applyNumberFormat="1" applyFont="1" applyBorder="1" applyAlignment="1">
      <alignment horizontal="right" vertical="center"/>
    </xf>
    <xf numFmtId="165" fontId="22" fillId="0" borderId="0" xfId="0" applyNumberFormat="1" applyFont="1" applyAlignment="1">
      <alignment horizontal="center" vertical="center"/>
    </xf>
    <xf numFmtId="4" fontId="22" fillId="3" borderId="0" xfId="61" applyNumberFormat="1" applyFont="1" applyFill="1" applyAlignment="1">
      <alignment horizontal="center" vertical="center"/>
    </xf>
    <xf numFmtId="4" fontId="19" fillId="0" borderId="1" xfId="0" applyNumberFormat="1" applyFont="1" applyBorder="1" applyAlignment="1">
      <alignment horizontal="right" vertical="center"/>
    </xf>
    <xf numFmtId="177" fontId="19" fillId="0" borderId="1" xfId="0" applyNumberFormat="1" applyFont="1" applyBorder="1" applyAlignment="1">
      <alignment horizontal="right" vertical="center"/>
    </xf>
    <xf numFmtId="177" fontId="22" fillId="0" borderId="0" xfId="0" applyNumberFormat="1" applyFont="1" applyAlignment="1">
      <alignment horizontal="right" vertical="center"/>
    </xf>
    <xf numFmtId="0" fontId="20" fillId="0" borderId="0" xfId="0" applyFont="1" applyAlignment="1">
      <alignment horizontal="left" vertical="center" wrapText="1"/>
    </xf>
    <xf numFmtId="0" fontId="20" fillId="0" borderId="0" xfId="0" applyFont="1" applyAlignment="1">
      <alignment horizontal="center" vertical="center" wrapText="1"/>
    </xf>
    <xf numFmtId="0" fontId="24" fillId="0" borderId="0" xfId="0" applyFont="1" applyAlignment="1">
      <alignment horizontal="center" vertical="center" wrapText="1"/>
    </xf>
    <xf numFmtId="164" fontId="17" fillId="0" borderId="0" xfId="2" applyFont="1" applyFill="1" applyAlignment="1">
      <alignment horizontal="center" vertical="center" wrapText="1"/>
    </xf>
    <xf numFmtId="164" fontId="22" fillId="0" borderId="0" xfId="2" applyFont="1" applyFill="1" applyBorder="1" applyAlignment="1">
      <alignment horizontal="center" vertical="center" wrapText="1"/>
    </xf>
    <xf numFmtId="0" fontId="20" fillId="0" borderId="0" xfId="26" applyFont="1" applyAlignment="1">
      <alignment horizontal="center" vertical="center"/>
    </xf>
    <xf numFmtId="0" fontId="19" fillId="0" borderId="1" xfId="26" applyFont="1" applyBorder="1" applyAlignment="1">
      <alignment horizontal="center" vertical="center"/>
    </xf>
    <xf numFmtId="0" fontId="19" fillId="0" borderId="3" xfId="26" applyFont="1" applyBorder="1" applyAlignment="1">
      <alignment horizontal="center" vertical="center" wrapText="1"/>
    </xf>
    <xf numFmtId="0" fontId="19" fillId="0" borderId="8" xfId="26" applyFont="1" applyBorder="1" applyAlignment="1">
      <alignment horizontal="center" vertical="center" wrapText="1"/>
    </xf>
    <xf numFmtId="0" fontId="20" fillId="0" borderId="0" xfId="0" applyFont="1" applyAlignment="1">
      <alignment horizontal="center" vertical="center"/>
    </xf>
    <xf numFmtId="0" fontId="19" fillId="0" borderId="1" xfId="0" applyFont="1" applyBorder="1" applyAlignment="1">
      <alignment horizontal="center" vertical="center"/>
    </xf>
    <xf numFmtId="0" fontId="24" fillId="0" borderId="0" xfId="0" applyFont="1" applyAlignment="1">
      <alignment horizontal="right" vertical="center"/>
    </xf>
    <xf numFmtId="0" fontId="20" fillId="0" borderId="0" xfId="26" applyFont="1" applyAlignment="1">
      <alignment horizontal="left" vertical="center"/>
    </xf>
    <xf numFmtId="0" fontId="20" fillId="0" borderId="0" xfId="26" applyFont="1" applyAlignment="1">
      <alignment horizontal="center" vertical="center" wrapText="1"/>
    </xf>
    <xf numFmtId="0" fontId="20" fillId="0" borderId="4" xfId="0" applyFont="1" applyBorder="1" applyAlignment="1">
      <alignment horizontal="center" vertical="center"/>
    </xf>
    <xf numFmtId="0" fontId="19" fillId="0" borderId="1" xfId="26" applyFont="1" applyBorder="1" applyAlignment="1">
      <alignment horizontal="center" vertical="center" wrapText="1"/>
    </xf>
    <xf numFmtId="2" fontId="19" fillId="0" borderId="1" xfId="26" applyNumberFormat="1" applyFont="1" applyBorder="1" applyAlignment="1">
      <alignment horizontal="center" vertical="center" wrapText="1"/>
    </xf>
    <xf numFmtId="164" fontId="19" fillId="0" borderId="1" xfId="26" applyNumberFormat="1" applyFont="1" applyBorder="1" applyAlignment="1">
      <alignment horizontal="center" vertical="center" wrapText="1"/>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5" fillId="0" borderId="4" xfId="0" applyFont="1" applyBorder="1" applyAlignment="1">
      <alignment horizontal="right" vertical="center"/>
    </xf>
    <xf numFmtId="0" fontId="15" fillId="0" borderId="0" xfId="0" applyFont="1" applyAlignment="1">
      <alignment horizontal="right" vertical="center"/>
    </xf>
    <xf numFmtId="0" fontId="40" fillId="0" borderId="0" xfId="53" applyFont="1" applyAlignment="1">
      <alignment horizontal="left" vertical="center"/>
    </xf>
    <xf numFmtId="0" fontId="40" fillId="0" borderId="0" xfId="53" applyFont="1" applyAlignment="1">
      <alignment horizontal="center" vertical="center"/>
    </xf>
    <xf numFmtId="1" fontId="45" fillId="0" borderId="1" xfId="53" applyNumberFormat="1" applyFont="1" applyBorder="1" applyAlignment="1">
      <alignment horizontal="center" vertical="center"/>
    </xf>
    <xf numFmtId="167" fontId="20" fillId="0" borderId="1" xfId="53" applyNumberFormat="1" applyFont="1" applyBorder="1" applyAlignment="1">
      <alignment horizontal="center" vertical="center"/>
    </xf>
    <xf numFmtId="167" fontId="20" fillId="0" borderId="1" xfId="53" applyNumberFormat="1" applyFont="1" applyBorder="1" applyAlignment="1">
      <alignment horizontal="center" vertical="center" wrapText="1"/>
    </xf>
    <xf numFmtId="167" fontId="20" fillId="0" borderId="3" xfId="53" applyNumberFormat="1" applyFont="1" applyBorder="1" applyAlignment="1">
      <alignment horizontal="center" vertical="center" wrapText="1"/>
    </xf>
    <xf numFmtId="167" fontId="20" fillId="0" borderId="8" xfId="53" applyNumberFormat="1" applyFont="1" applyBorder="1" applyAlignment="1">
      <alignment horizontal="center" vertical="center" wrapText="1"/>
    </xf>
    <xf numFmtId="1" fontId="44" fillId="0" borderId="1" xfId="53" applyNumberFormat="1" applyFont="1" applyBorder="1" applyAlignment="1">
      <alignment horizontal="center" vertical="center"/>
    </xf>
    <xf numFmtId="167" fontId="44" fillId="0" borderId="1" xfId="53" applyNumberFormat="1" applyFont="1" applyBorder="1" applyAlignment="1">
      <alignment horizontal="left" vertical="center"/>
    </xf>
    <xf numFmtId="167" fontId="44" fillId="0" borderId="1" xfId="53" applyNumberFormat="1" applyFont="1" applyBorder="1" applyAlignment="1">
      <alignment horizontal="center" vertical="center"/>
    </xf>
    <xf numFmtId="167" fontId="44" fillId="0" borderId="1" xfId="54" applyNumberFormat="1" applyFont="1" applyFill="1" applyBorder="1" applyAlignment="1">
      <alignment horizontal="center" vertical="center"/>
    </xf>
    <xf numFmtId="167" fontId="48" fillId="0" borderId="1" xfId="48" applyNumberFormat="1" applyFont="1" applyBorder="1" applyAlignment="1">
      <alignment horizontal="center" vertical="center" wrapText="1"/>
    </xf>
    <xf numFmtId="167" fontId="20" fillId="0" borderId="9" xfId="53" applyNumberFormat="1" applyFont="1" applyBorder="1" applyAlignment="1">
      <alignment horizontal="center" vertical="center" wrapText="1"/>
    </xf>
    <xf numFmtId="0" fontId="49" fillId="0" borderId="3" xfId="53" applyFont="1" applyBorder="1" applyAlignment="1">
      <alignment horizontal="center" vertical="center" wrapText="1"/>
    </xf>
    <xf numFmtId="0" fontId="49" fillId="0" borderId="8" xfId="53" applyFont="1" applyBorder="1" applyAlignment="1">
      <alignment horizontal="center" vertical="center" wrapText="1"/>
    </xf>
    <xf numFmtId="1" fontId="44" fillId="0" borderId="1" xfId="48" applyNumberFormat="1" applyFont="1" applyBorder="1" applyAlignment="1">
      <alignment horizontal="center" vertical="center"/>
    </xf>
    <xf numFmtId="167" fontId="44" fillId="0" borderId="1" xfId="48" applyNumberFormat="1" applyFont="1" applyBorder="1" applyAlignment="1">
      <alignment horizontal="left" vertical="center" wrapText="1"/>
    </xf>
    <xf numFmtId="167" fontId="44" fillId="0" borderId="1" xfId="48" applyNumberFormat="1" applyFont="1" applyBorder="1" applyAlignment="1">
      <alignment horizontal="center" vertical="center" wrapText="1"/>
    </xf>
    <xf numFmtId="0" fontId="44" fillId="0" borderId="1" xfId="57" applyFont="1" applyBorder="1" applyAlignment="1">
      <alignment horizontal="center" vertical="center" wrapText="1"/>
    </xf>
    <xf numFmtId="167" fontId="44" fillId="0" borderId="1" xfId="53" applyNumberFormat="1" applyFont="1" applyBorder="1" applyAlignment="1">
      <alignment horizontal="center" vertical="center" wrapText="1"/>
    </xf>
    <xf numFmtId="167" fontId="20" fillId="0" borderId="3" xfId="48" applyNumberFormat="1" applyFont="1" applyBorder="1" applyAlignment="1">
      <alignment horizontal="center" vertical="center" wrapText="1"/>
    </xf>
    <xf numFmtId="167" fontId="20" fillId="0" borderId="7" xfId="48" applyNumberFormat="1" applyFont="1" applyBorder="1" applyAlignment="1">
      <alignment horizontal="center" vertical="center" wrapText="1"/>
    </xf>
    <xf numFmtId="167" fontId="20" fillId="0" borderId="8" xfId="48" applyNumberFormat="1" applyFont="1" applyBorder="1" applyAlignment="1">
      <alignment horizontal="center" vertical="center" wrapText="1"/>
    </xf>
    <xf numFmtId="1" fontId="44" fillId="0" borderId="1" xfId="48" applyNumberFormat="1" applyFont="1" applyBorder="1" applyAlignment="1">
      <alignment horizontal="center" vertical="center" wrapText="1"/>
    </xf>
    <xf numFmtId="4" fontId="44" fillId="0" borderId="1" xfId="48" applyNumberFormat="1" applyFont="1" applyBorder="1" applyAlignment="1">
      <alignment horizontal="center" vertical="center" wrapText="1"/>
    </xf>
    <xf numFmtId="0" fontId="44" fillId="0" borderId="1" xfId="48" applyFont="1" applyBorder="1" applyAlignment="1">
      <alignment horizontal="left" vertical="center" wrapText="1"/>
    </xf>
    <xf numFmtId="0" fontId="44" fillId="0" borderId="1" xfId="48" applyFont="1" applyBorder="1" applyAlignment="1">
      <alignment horizontal="center" vertical="center" wrapText="1"/>
    </xf>
    <xf numFmtId="4" fontId="44" fillId="0" borderId="1" xfId="42" applyNumberFormat="1" applyFont="1" applyBorder="1" applyAlignment="1">
      <alignment horizontal="center" vertical="center" wrapText="1"/>
    </xf>
    <xf numFmtId="0" fontId="44" fillId="0" borderId="1" xfId="53" applyFont="1" applyBorder="1" applyAlignment="1">
      <alignment horizontal="center" vertical="center" wrapText="1"/>
    </xf>
    <xf numFmtId="4" fontId="44" fillId="0" borderId="1" xfId="11" applyNumberFormat="1" applyFont="1" applyBorder="1" applyAlignment="1">
      <alignment horizontal="center" vertical="center" wrapText="1"/>
    </xf>
    <xf numFmtId="0" fontId="44" fillId="0" borderId="1" xfId="11" applyFont="1" applyBorder="1" applyAlignment="1">
      <alignment horizontal="left" vertical="center" wrapText="1"/>
    </xf>
    <xf numFmtId="0" fontId="44" fillId="0" borderId="1" xfId="11" applyFont="1" applyBorder="1" applyAlignment="1">
      <alignment horizontal="center" vertical="center" wrapText="1"/>
    </xf>
    <xf numFmtId="167" fontId="44" fillId="0" borderId="3" xfId="48" applyNumberFormat="1" applyFont="1" applyBorder="1" applyAlignment="1">
      <alignment horizontal="center" vertical="center" wrapText="1"/>
    </xf>
    <xf numFmtId="167" fontId="44" fillId="0" borderId="7" xfId="48" applyNumberFormat="1" applyFont="1" applyBorder="1" applyAlignment="1">
      <alignment horizontal="center" vertical="center" wrapText="1"/>
    </xf>
    <xf numFmtId="167" fontId="44" fillId="0" borderId="8" xfId="48" applyNumberFormat="1" applyFont="1" applyBorder="1" applyAlignment="1">
      <alignment horizontal="center" vertical="center" wrapText="1"/>
    </xf>
    <xf numFmtId="0" fontId="44" fillId="0" borderId="3" xfId="53" applyFont="1" applyBorder="1" applyAlignment="1">
      <alignment horizontal="center" vertical="center" wrapText="1"/>
    </xf>
    <xf numFmtId="0" fontId="44" fillId="0" borderId="8" xfId="53" applyFont="1" applyBorder="1" applyAlignment="1">
      <alignment horizontal="center" vertical="center" wrapText="1"/>
    </xf>
    <xf numFmtId="167" fontId="44" fillId="0" borderId="1" xfId="53" applyNumberFormat="1" applyFont="1" applyBorder="1" applyAlignment="1">
      <alignment horizontal="left" vertical="center" wrapText="1"/>
    </xf>
    <xf numFmtId="2" fontId="44" fillId="0" borderId="1" xfId="11" applyNumberFormat="1" applyFont="1" applyBorder="1" applyAlignment="1">
      <alignment horizontal="center" vertical="center" wrapText="1"/>
    </xf>
    <xf numFmtId="0" fontId="20" fillId="0" borderId="3" xfId="53" applyFont="1" applyBorder="1" applyAlignment="1">
      <alignment horizontal="center" vertical="center" wrapText="1"/>
    </xf>
    <xf numFmtId="0" fontId="20" fillId="0" borderId="8" xfId="53" applyFont="1" applyBorder="1" applyAlignment="1">
      <alignment horizontal="center" vertical="center" wrapText="1"/>
    </xf>
    <xf numFmtId="1" fontId="44" fillId="0" borderId="1" xfId="53" applyNumberFormat="1" applyFont="1" applyBorder="1" applyAlignment="1">
      <alignment horizontal="center" vertical="center" wrapText="1"/>
    </xf>
    <xf numFmtId="0" fontId="44" fillId="0" borderId="9" xfId="53" applyFont="1" applyBorder="1" applyAlignment="1">
      <alignment horizontal="center" vertical="center" wrapText="1"/>
    </xf>
    <xf numFmtId="0" fontId="22" fillId="0" borderId="1" xfId="53" applyFont="1" applyBorder="1" applyAlignment="1">
      <alignment horizontal="center" vertical="center" wrapText="1"/>
    </xf>
    <xf numFmtId="0" fontId="20" fillId="0" borderId="7" xfId="53" applyFont="1" applyBorder="1" applyAlignment="1">
      <alignment horizontal="center" vertical="center" wrapText="1"/>
    </xf>
    <xf numFmtId="167" fontId="44" fillId="0" borderId="1" xfId="53" applyNumberFormat="1" applyFont="1" applyBorder="1" applyAlignment="1">
      <alignment horizontal="center"/>
    </xf>
    <xf numFmtId="0" fontId="44" fillId="0" borderId="1" xfId="59" applyFont="1" applyBorder="1" applyAlignment="1">
      <alignment horizontal="center" vertical="center" wrapText="1"/>
    </xf>
    <xf numFmtId="0" fontId="44" fillId="0" borderId="1" xfId="48" applyFont="1" applyBorder="1" applyAlignment="1" applyProtection="1">
      <alignment horizontal="left" vertical="center" wrapText="1"/>
      <protection locked="0"/>
    </xf>
    <xf numFmtId="0" fontId="20" fillId="0" borderId="0" xfId="53" applyFont="1" applyAlignment="1">
      <alignment horizontal="center" vertical="center" wrapText="1"/>
    </xf>
    <xf numFmtId="0" fontId="20" fillId="3" borderId="0" xfId="26" applyFont="1" applyFill="1" applyAlignment="1">
      <alignment horizontal="left" vertical="center"/>
    </xf>
    <xf numFmtId="164" fontId="20" fillId="3" borderId="0" xfId="0" applyNumberFormat="1" applyFont="1" applyFill="1" applyAlignment="1">
      <alignment horizontal="center" vertical="center" wrapText="1"/>
    </xf>
    <xf numFmtId="0" fontId="20" fillId="3" borderId="0" xfId="0" applyFont="1" applyFill="1" applyAlignment="1">
      <alignment horizontal="center" vertical="center"/>
    </xf>
    <xf numFmtId="0" fontId="17" fillId="3" borderId="1" xfId="26" applyFont="1" applyFill="1" applyBorder="1" applyAlignment="1">
      <alignment horizontal="center" vertical="center" wrapText="1"/>
    </xf>
    <xf numFmtId="0" fontId="17" fillId="3" borderId="1" xfId="26" applyFont="1" applyFill="1" applyBorder="1" applyAlignment="1">
      <alignment horizontal="center" vertical="center"/>
    </xf>
    <xf numFmtId="0" fontId="17" fillId="3" borderId="1" xfId="0" applyFont="1" applyFill="1" applyBorder="1" applyAlignment="1">
      <alignment horizontal="center" vertical="center" wrapText="1"/>
    </xf>
    <xf numFmtId="164" fontId="19" fillId="0" borderId="1" xfId="0" applyNumberFormat="1" applyFont="1" applyBorder="1" applyAlignment="1">
      <alignment horizontal="center" vertical="center" wrapText="1"/>
    </xf>
    <xf numFmtId="164" fontId="20" fillId="0" borderId="0" xfId="0" applyNumberFormat="1" applyFont="1" applyAlignment="1">
      <alignment horizontal="center" vertical="center" wrapText="1"/>
    </xf>
    <xf numFmtId="0" fontId="60" fillId="0" borderId="1" xfId="53" applyFont="1" applyBorder="1" applyAlignment="1">
      <alignment horizontal="center" vertical="center" wrapText="1"/>
    </xf>
    <xf numFmtId="0" fontId="57" fillId="0" borderId="1" xfId="53" applyFont="1" applyBorder="1" applyAlignment="1">
      <alignment horizontal="center" vertical="center" wrapText="1"/>
    </xf>
    <xf numFmtId="0" fontId="57" fillId="0" borderId="0" xfId="53" applyFont="1" applyAlignment="1">
      <alignment horizontal="center" vertical="center"/>
    </xf>
    <xf numFmtId="0" fontId="58" fillId="0" borderId="0" xfId="53" applyFont="1"/>
    <xf numFmtId="1" fontId="57" fillId="6" borderId="11" xfId="48" applyNumberFormat="1" applyFont="1" applyFill="1" applyBorder="1" applyAlignment="1">
      <alignment horizontal="left" vertical="center" wrapText="1"/>
    </xf>
    <xf numFmtId="1" fontId="44" fillId="7" borderId="1" xfId="48" applyNumberFormat="1" applyFont="1" applyFill="1" applyBorder="1" applyAlignment="1">
      <alignment horizontal="center" vertical="center" wrapText="1"/>
    </xf>
    <xf numFmtId="0" fontId="44" fillId="7" borderId="1" xfId="48" applyFont="1" applyFill="1" applyBorder="1" applyAlignment="1">
      <alignment horizontal="left" vertical="center" wrapText="1"/>
    </xf>
    <xf numFmtId="0" fontId="44" fillId="7" borderId="1" xfId="48" applyFont="1" applyFill="1" applyBorder="1" applyAlignment="1">
      <alignment horizontal="center" vertical="center" wrapText="1"/>
    </xf>
    <xf numFmtId="167" fontId="44" fillId="7" borderId="1" xfId="48" applyNumberFormat="1" applyFont="1" applyFill="1" applyBorder="1" applyAlignment="1">
      <alignment horizontal="center" vertical="center" wrapText="1"/>
    </xf>
    <xf numFmtId="4" fontId="44" fillId="7" borderId="1" xfId="48" applyNumberFormat="1" applyFont="1" applyFill="1" applyBorder="1" applyAlignment="1">
      <alignment horizontal="center" vertical="center" wrapText="1"/>
    </xf>
    <xf numFmtId="167" fontId="44" fillId="7" borderId="1" xfId="57" applyNumberFormat="1" applyFont="1" applyFill="1" applyBorder="1" applyAlignment="1">
      <alignment horizontal="center" vertical="center" wrapText="1"/>
    </xf>
    <xf numFmtId="0" fontId="44" fillId="7" borderId="1" xfId="57" applyFont="1" applyFill="1" applyBorder="1" applyAlignment="1">
      <alignment horizontal="center" vertical="center" wrapText="1"/>
    </xf>
    <xf numFmtId="167" fontId="44" fillId="7" borderId="1" xfId="48" applyNumberFormat="1" applyFont="1" applyFill="1" applyBorder="1" applyAlignment="1">
      <alignment horizontal="center" vertical="center" wrapText="1"/>
    </xf>
    <xf numFmtId="0" fontId="44" fillId="7" borderId="1" xfId="48" applyFont="1" applyFill="1" applyBorder="1" applyAlignment="1">
      <alignment horizontal="center" vertical="center" wrapText="1"/>
    </xf>
    <xf numFmtId="167" fontId="44" fillId="7" borderId="9" xfId="48" applyNumberFormat="1" applyFont="1" applyFill="1" applyBorder="1" applyAlignment="1">
      <alignment horizontal="center" vertical="center" wrapText="1"/>
    </xf>
    <xf numFmtId="167" fontId="22" fillId="7" borderId="1" xfId="48" applyNumberFormat="1" applyFont="1" applyFill="1" applyBorder="1" applyAlignment="1">
      <alignment horizontal="center" vertical="center" wrapText="1"/>
    </xf>
    <xf numFmtId="167" fontId="20" fillId="7" borderId="7" xfId="48" applyNumberFormat="1" applyFont="1" applyFill="1" applyBorder="1" applyAlignment="1">
      <alignment horizontal="center" vertical="center" wrapText="1"/>
    </xf>
    <xf numFmtId="0" fontId="44" fillId="7" borderId="0" xfId="53" applyFont="1" applyFill="1" applyAlignment="1">
      <alignment horizontal="center" vertical="center"/>
    </xf>
    <xf numFmtId="0" fontId="50" fillId="7" borderId="0" xfId="53" applyFont="1" applyFill="1"/>
    <xf numFmtId="167" fontId="20" fillId="7" borderId="3" xfId="48" applyNumberFormat="1" applyFont="1" applyFill="1" applyBorder="1" applyAlignment="1">
      <alignment horizontal="center" vertical="center" wrapText="1"/>
    </xf>
    <xf numFmtId="167" fontId="20" fillId="7" borderId="3" xfId="48" applyNumberFormat="1" applyFont="1" applyFill="1" applyBorder="1" applyAlignment="1">
      <alignment horizontal="center" vertical="center" wrapText="1"/>
    </xf>
    <xf numFmtId="167" fontId="20" fillId="7" borderId="8" xfId="48" applyNumberFormat="1" applyFont="1" applyFill="1" applyBorder="1" applyAlignment="1">
      <alignment horizontal="center" vertical="center" wrapText="1"/>
    </xf>
    <xf numFmtId="167" fontId="20" fillId="7" borderId="8" xfId="48" applyNumberFormat="1" applyFont="1" applyFill="1" applyBorder="1" applyAlignment="1">
      <alignment horizontal="center" vertical="center" wrapText="1"/>
    </xf>
    <xf numFmtId="0" fontId="44" fillId="7" borderId="0" xfId="53" applyFont="1" applyFill="1" applyAlignment="1">
      <alignment horizontal="center" vertical="center"/>
    </xf>
    <xf numFmtId="1" fontId="44" fillId="7" borderId="1" xfId="48" applyNumberFormat="1" applyFont="1" applyFill="1" applyBorder="1" applyAlignment="1">
      <alignment horizontal="center" vertical="center" wrapText="1"/>
    </xf>
    <xf numFmtId="0" fontId="44" fillId="7" borderId="1" xfId="48" applyFont="1" applyFill="1" applyBorder="1" applyAlignment="1">
      <alignment horizontal="left" vertical="center" wrapText="1"/>
    </xf>
    <xf numFmtId="4" fontId="44" fillId="7" borderId="1" xfId="42" applyNumberFormat="1" applyFont="1" applyFill="1" applyBorder="1" applyAlignment="1">
      <alignment horizontal="center" vertical="center" wrapText="1"/>
    </xf>
    <xf numFmtId="0" fontId="44" fillId="7" borderId="1" xfId="53" applyFont="1" applyFill="1" applyBorder="1" applyAlignment="1">
      <alignment horizontal="center" vertical="center"/>
    </xf>
    <xf numFmtId="0" fontId="44" fillId="7" borderId="1" xfId="53" applyFont="1" applyFill="1" applyBorder="1" applyAlignment="1">
      <alignment horizontal="center" vertical="center" wrapText="1"/>
    </xf>
    <xf numFmtId="0" fontId="44" fillId="7" borderId="1" xfId="58" applyFont="1" applyFill="1" applyBorder="1" applyAlignment="1">
      <alignment horizontal="center" vertical="center" wrapText="1"/>
    </xf>
    <xf numFmtId="0" fontId="44" fillId="7" borderId="9" xfId="58" applyFont="1" applyFill="1" applyBorder="1" applyAlignment="1">
      <alignment horizontal="center" vertical="center" wrapText="1"/>
    </xf>
    <xf numFmtId="0" fontId="22" fillId="7" borderId="1" xfId="53" applyFont="1" applyFill="1" applyBorder="1" applyAlignment="1">
      <alignment horizontal="center" vertical="center" wrapText="1"/>
    </xf>
    <xf numFmtId="0" fontId="20" fillId="7" borderId="1" xfId="53" applyFont="1" applyFill="1" applyBorder="1" applyAlignment="1">
      <alignment horizontal="center" vertical="center" wrapText="1"/>
    </xf>
    <xf numFmtId="167" fontId="44" fillId="7" borderId="1" xfId="53" applyNumberFormat="1" applyFont="1" applyFill="1" applyBorder="1" applyAlignment="1">
      <alignment horizontal="left" vertical="center" wrapText="1"/>
    </xf>
    <xf numFmtId="167" fontId="44" fillId="7" borderId="1" xfId="53" applyNumberFormat="1" applyFont="1" applyFill="1" applyBorder="1" applyAlignment="1">
      <alignment horizontal="center" vertical="center" wrapText="1"/>
    </xf>
    <xf numFmtId="167" fontId="44" fillId="7" borderId="1" xfId="54" applyNumberFormat="1" applyFont="1" applyFill="1" applyBorder="1" applyAlignment="1">
      <alignment horizontal="center" vertical="center"/>
    </xf>
    <xf numFmtId="167" fontId="20" fillId="7" borderId="1" xfId="48" applyNumberFormat="1" applyFont="1" applyFill="1" applyBorder="1" applyAlignment="1">
      <alignment horizontal="center" vertical="center" wrapText="1"/>
    </xf>
  </cellXfs>
  <cellStyles count="62">
    <cellStyle name="Comma" xfId="2" builtinId="3"/>
    <cellStyle name="Comma 13" xfId="3"/>
    <cellStyle name="Comma 2" xfId="4"/>
    <cellStyle name="Comma 2 11" xfId="5"/>
    <cellStyle name="Comma 2 11 2" xfId="37"/>
    <cellStyle name="Comma 2 2" xfId="33"/>
    <cellStyle name="Comma 3" xfId="34"/>
    <cellStyle name="Comma 4" xfId="6"/>
    <cellStyle name="Comma 5" xfId="7"/>
    <cellStyle name="Comma 6" xfId="40"/>
    <cellStyle name="Comma 6 2" xfId="49"/>
    <cellStyle name="Comma 6 2 2" xfId="54"/>
    <cellStyle name="Comma 7" xfId="61"/>
    <cellStyle name="Chuẩn 2" xfId="1"/>
    <cellStyle name="Normal" xfId="0" builtinId="0"/>
    <cellStyle name="Normal 10" xfId="8"/>
    <cellStyle name="Normal 10 2" xfId="9"/>
    <cellStyle name="Normal 11" xfId="38"/>
    <cellStyle name="Normal 11 2" xfId="44"/>
    <cellStyle name="Normal 11 2 2" xfId="47"/>
    <cellStyle name="Normal 11 2 2 2" xfId="52"/>
    <cellStyle name="Normal 11 2 2 2 2" xfId="53"/>
    <cellStyle name="Normal 11 2 2 2 2 2" xfId="56"/>
    <cellStyle name="Normal 11 2 2 2 2 2 2" xfId="58"/>
    <cellStyle name="Normal 11 3" xfId="45"/>
    <cellStyle name="Normal 11 3 2" xfId="59"/>
    <cellStyle name="Normal 12" xfId="36"/>
    <cellStyle name="Normal 12 2" xfId="41"/>
    <cellStyle name="Normal 12 2 2" xfId="50"/>
    <cellStyle name="Normal 12 2 2 2" xfId="57"/>
    <cellStyle name="Normal 14 2" xfId="46"/>
    <cellStyle name="Normal 14 2 2" xfId="60"/>
    <cellStyle name="Normal 17" xfId="10"/>
    <cellStyle name="Normal 2" xfId="11"/>
    <cellStyle name="Normal 2 2" xfId="12"/>
    <cellStyle name="Normal 2 2 2" xfId="27"/>
    <cellStyle name="Normal 2 2 3" xfId="29"/>
    <cellStyle name="Normal 2 3" xfId="32"/>
    <cellStyle name="Normal 2 3 2" xfId="13"/>
    <cellStyle name="Normal 2 3 3" xfId="43"/>
    <cellStyle name="Normal 2 3 3 2" xfId="51"/>
    <cellStyle name="Normal 2 3 3 2 2" xfId="55"/>
    <cellStyle name="Normal 2 4" xfId="14"/>
    <cellStyle name="Normal 22" xfId="15"/>
    <cellStyle name="Normal 24" xfId="16"/>
    <cellStyle name="Normal 3" xfId="17"/>
    <cellStyle name="Normal 3 2" xfId="28"/>
    <cellStyle name="Normal 4" xfId="18"/>
    <cellStyle name="Normal 4 2" xfId="19"/>
    <cellStyle name="Normal 4 2 2" xfId="30"/>
    <cellStyle name="Normal 4 2 3" xfId="35"/>
    <cellStyle name="Normal 5" xfId="20"/>
    <cellStyle name="Normal 5 2 2" xfId="21"/>
    <cellStyle name="Normal 6" xfId="22"/>
    <cellStyle name="Normal 6 2" xfId="23"/>
    <cellStyle name="Normal 7" xfId="31"/>
    <cellStyle name="Normal 7 2" xfId="39"/>
    <cellStyle name="Normal 7 2 2" xfId="48"/>
    <cellStyle name="Normal 8" xfId="24"/>
    <cellStyle name="Normal 9" xfId="25"/>
    <cellStyle name="Normal_Bieu_xa" xfId="26"/>
    <cellStyle name="Normal_QHMau" xfId="4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AM%202023/HUYEN%20CAN%20GIUOC/2.%20HO%20SO%20KE%20HOACH%20SD&#272;%202024%20HUYEN%20CAN%20GIUOC/1.%20DMCT%20KHSD&#272;%20N&#258;M%202024%20HUY&#7878;N%20C&#7846;N%20GIU&#7896;C_30.1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AM%202023/HUYEN%20CAN%20GIUOC/2.%20HO%20SO%20KE%20HOACH%20SD&#272;%202024%20HUYEN%20CAN%20GIUOC/1.%20DANH%20M&#7908;C%20KHSD&#272;%20N&#258;M%202024%20HUY&#7878;N%20C&#7846;N%20GIU&#7896;C%2003.12.2023_Ph&#242;ng%20g&#7917;i.%20B&#7843;n%20cu&#7889;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CH"/>
      <sheetName val="Đã thực hiện"/>
      <sheetName val="Đang thực hiện"/>
      <sheetName val="Chuyển tiếp"/>
      <sheetName val="Hủy bỏ"/>
      <sheetName val="ĐKM"/>
      <sheetName val="10 CH"/>
      <sheetName val="Không phù hợp với QHSDĐ"/>
      <sheetName val=" CMĐ 2024 "/>
      <sheetName val="TT. Cần Giuộc"/>
      <sheetName val="Xã Đông Thạnh"/>
      <sheetName val="Xã Long An"/>
      <sheetName val="Xã Long Hậu"/>
      <sheetName val="Xã Long Phụng"/>
      <sheetName val="Xã Long Thượng"/>
      <sheetName val="Xã Mỹ Lộc"/>
      <sheetName val="Xã Phước Hậu"/>
      <sheetName val="Xã Phước Lại"/>
      <sheetName val="Xã Phước Lâm"/>
      <sheetName val="Xã Phước Lý"/>
      <sheetName val="Xã Phước Vĩnh Đông"/>
      <sheetName val="Xã Phước Vĩnh Tây"/>
      <sheetName val="Xã Tân Tập"/>
      <sheetName val="Xã Thuận Thành"/>
    </sheetNames>
    <sheetDataSet>
      <sheetData sheetId="0"/>
      <sheetData sheetId="1">
        <row r="5">
          <cell r="L5" t="str">
            <v>LUC</v>
          </cell>
          <cell r="M5" t="str">
            <v>LUK</v>
          </cell>
          <cell r="N5" t="str">
            <v>HNK</v>
          </cell>
          <cell r="O5" t="str">
            <v>CLN</v>
          </cell>
          <cell r="P5" t="str">
            <v>NTS</v>
          </cell>
          <cell r="Q5" t="str">
            <v>NKH</v>
          </cell>
          <cell r="R5" t="str">
            <v>SKK</v>
          </cell>
          <cell r="S5" t="str">
            <v>SKN</v>
          </cell>
          <cell r="T5" t="str">
            <v>TMD</v>
          </cell>
          <cell r="U5" t="str">
            <v>SKC</v>
          </cell>
          <cell r="V5" t="str">
            <v>DGT</v>
          </cell>
          <cell r="W5" t="str">
            <v>DTL</v>
          </cell>
          <cell r="X5" t="str">
            <v>DVH</v>
          </cell>
          <cell r="Y5" t="str">
            <v>DYT</v>
          </cell>
          <cell r="Z5" t="str">
            <v>DGD</v>
          </cell>
          <cell r="AA5" t="str">
            <v>DTT</v>
          </cell>
          <cell r="AB5" t="str">
            <v>DNL</v>
          </cell>
          <cell r="AC5" t="str">
            <v>DBV</v>
          </cell>
          <cell r="AD5" t="str">
            <v>DDT</v>
          </cell>
          <cell r="AE5" t="str">
            <v>DRA</v>
          </cell>
          <cell r="AF5" t="str">
            <v>TON</v>
          </cell>
          <cell r="AG5" t="str">
            <v>NTD</v>
          </cell>
          <cell r="AH5" t="str">
            <v>DCH</v>
          </cell>
          <cell r="AI5" t="str">
            <v>DSH</v>
          </cell>
          <cell r="AJ5" t="str">
            <v>DKV</v>
          </cell>
          <cell r="AK5" t="str">
            <v>ONT</v>
          </cell>
          <cell r="AL5" t="str">
            <v>ODT</v>
          </cell>
          <cell r="AM5" t="str">
            <v>TSC</v>
          </cell>
          <cell r="AN5" t="str">
            <v>DTS</v>
          </cell>
          <cell r="AO5" t="str">
            <v>TIN</v>
          </cell>
          <cell r="AP5" t="str">
            <v>SON</v>
          </cell>
          <cell r="AQ5" t="str">
            <v>CSD</v>
          </cell>
          <cell r="AR5" t="str">
            <v>CQP</v>
          </cell>
          <cell r="AS5" t="str">
            <v>CAN</v>
          </cell>
          <cell r="AT5" t="str">
            <v>DHT</v>
          </cell>
        </row>
      </sheetData>
      <sheetData sheetId="2"/>
      <sheetData sheetId="3"/>
      <sheetData sheetId="4">
        <row r="5">
          <cell r="L5" t="str">
            <v>LUC</v>
          </cell>
          <cell r="M5" t="str">
            <v>LUK</v>
          </cell>
          <cell r="N5" t="str">
            <v>HNK</v>
          </cell>
          <cell r="O5" t="str">
            <v>CLN</v>
          </cell>
          <cell r="P5" t="str">
            <v>NTS</v>
          </cell>
          <cell r="Q5" t="str">
            <v>NKH</v>
          </cell>
          <cell r="R5" t="str">
            <v>SKK</v>
          </cell>
          <cell r="S5" t="str">
            <v>SKN</v>
          </cell>
          <cell r="T5" t="str">
            <v>TMD</v>
          </cell>
          <cell r="U5" t="str">
            <v>SKC</v>
          </cell>
          <cell r="V5" t="str">
            <v>DGT</v>
          </cell>
          <cell r="W5" t="str">
            <v>DTL</v>
          </cell>
          <cell r="X5" t="str">
            <v>DVH</v>
          </cell>
          <cell r="Y5" t="str">
            <v>DYT</v>
          </cell>
          <cell r="Z5" t="str">
            <v>DGD</v>
          </cell>
          <cell r="AA5" t="str">
            <v>DTT</v>
          </cell>
          <cell r="AB5" t="str">
            <v>DNL</v>
          </cell>
          <cell r="AC5" t="str">
            <v>DBV</v>
          </cell>
          <cell r="AD5" t="str">
            <v>DDT</v>
          </cell>
          <cell r="AE5" t="str">
            <v>DRA</v>
          </cell>
          <cell r="AF5" t="str">
            <v>TON</v>
          </cell>
          <cell r="AG5" t="str">
            <v>NTD</v>
          </cell>
          <cell r="AH5" t="str">
            <v>DCH</v>
          </cell>
          <cell r="AI5" t="str">
            <v>DSH</v>
          </cell>
          <cell r="AJ5" t="str">
            <v>DKV</v>
          </cell>
          <cell r="AK5" t="str">
            <v>ONT</v>
          </cell>
          <cell r="AL5" t="str">
            <v>ODT</v>
          </cell>
          <cell r="AM5" t="str">
            <v>TSC</v>
          </cell>
          <cell r="AN5" t="str">
            <v>DTS</v>
          </cell>
          <cell r="AO5" t="str">
            <v>TIN</v>
          </cell>
          <cell r="AP5" t="str">
            <v>SON</v>
          </cell>
          <cell r="AQ5" t="str">
            <v>CSD</v>
          </cell>
          <cell r="AR5" t="str">
            <v>CQP</v>
          </cell>
          <cell r="AS5" t="str">
            <v>CAN</v>
          </cell>
          <cell r="AT5" t="str">
            <v>DHT</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Đã thực hiện"/>
      <sheetName val="Đang thực hiện"/>
      <sheetName val="Hủy bỏ"/>
      <sheetName val="Chuyển tiếp"/>
      <sheetName val="Đăng ký mới"/>
      <sheetName val="danh mục trong biểu"/>
      <sheetName val="02CH"/>
      <sheetName val="ĐKM"/>
      <sheetName val="10 CH"/>
      <sheetName val="Không phù hợp với QHSDĐ"/>
      <sheetName val=" CMĐ 2024 "/>
      <sheetName val="TT. Cần Giuộc"/>
      <sheetName val="Xã Đông Thạnh"/>
      <sheetName val="Xã Long An"/>
      <sheetName val="Xã Long Hậu"/>
      <sheetName val="Xã Long Phụng"/>
      <sheetName val="Xã Long Thượng"/>
      <sheetName val="Xã Mỹ Lộc"/>
      <sheetName val="Xã Phước Hậu"/>
      <sheetName val="Xã Phước Lại"/>
      <sheetName val="Xã Phước Lâm"/>
      <sheetName val="Xã Phước Lý"/>
      <sheetName val="Xã Phước Vĩnh Đông"/>
      <sheetName val="Xã Phước Vĩnh Tây"/>
      <sheetName val="Xã Tân Tập"/>
      <sheetName val="Xã Thuận Thành"/>
    </sheetNames>
    <sheetDataSet>
      <sheetData sheetId="0"/>
      <sheetData sheetId="1"/>
      <sheetData sheetId="2"/>
      <sheetData sheetId="3"/>
      <sheetData sheetId="4"/>
      <sheetData sheetId="5"/>
      <sheetData sheetId="6"/>
      <sheetData sheetId="7"/>
      <sheetData sheetId="8">
        <row r="5">
          <cell r="K5" t="str">
            <v>LUC</v>
          </cell>
          <cell r="L5" t="str">
            <v>LUK</v>
          </cell>
          <cell r="M5" t="str">
            <v>HNK</v>
          </cell>
          <cell r="N5" t="str">
            <v>CLN</v>
          </cell>
          <cell r="O5" t="str">
            <v>NTS</v>
          </cell>
          <cell r="P5" t="str">
            <v>NKH</v>
          </cell>
          <cell r="Q5" t="str">
            <v>SKK</v>
          </cell>
          <cell r="R5" t="str">
            <v>SKN</v>
          </cell>
          <cell r="S5" t="str">
            <v>TMD</v>
          </cell>
          <cell r="T5" t="str">
            <v>SKC</v>
          </cell>
          <cell r="U5" t="str">
            <v>DGT</v>
          </cell>
          <cell r="V5" t="str">
            <v>DTL</v>
          </cell>
          <cell r="W5" t="str">
            <v>DVH</v>
          </cell>
          <cell r="X5" t="str">
            <v>DYT</v>
          </cell>
          <cell r="Y5" t="str">
            <v>DGD</v>
          </cell>
          <cell r="Z5" t="str">
            <v>DTT</v>
          </cell>
          <cell r="AA5" t="str">
            <v>DNL</v>
          </cell>
          <cell r="AB5" t="str">
            <v>DBV</v>
          </cell>
          <cell r="AC5" t="str">
            <v>DDT</v>
          </cell>
          <cell r="AD5" t="str">
            <v>DRA</v>
          </cell>
          <cell r="AE5" t="str">
            <v>TON</v>
          </cell>
          <cell r="AF5" t="str">
            <v>NTD</v>
          </cell>
          <cell r="AG5" t="str">
            <v>DCH</v>
          </cell>
          <cell r="AH5" t="str">
            <v>DSH</v>
          </cell>
          <cell r="AI5" t="str">
            <v>DKV</v>
          </cell>
          <cell r="AJ5" t="str">
            <v>ONT</v>
          </cell>
          <cell r="AK5" t="str">
            <v>ODT</v>
          </cell>
          <cell r="AL5" t="str">
            <v>TSC</v>
          </cell>
          <cell r="AM5" t="str">
            <v>DTS</v>
          </cell>
          <cell r="AN5" t="str">
            <v>TIN</v>
          </cell>
          <cell r="AO5" t="str">
            <v>SON</v>
          </cell>
          <cell r="AP5" t="str">
            <v>CSD</v>
          </cell>
          <cell r="AQ5" t="str">
            <v>CQP</v>
          </cell>
          <cell r="AR5" t="str">
            <v>CAN</v>
          </cell>
          <cell r="AS5" t="str">
            <v>DHT</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
  <sheetViews>
    <sheetView showGridLines="0" defaultGridColor="0" view="pageBreakPreview" colorId="0" workbookViewId="0"/>
  </sheetViews>
  <sheetFormatPr defaultRowHeight="14"/>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3"/>
  <sheetViews>
    <sheetView view="pageBreakPreview" topLeftCell="A6" zoomScale="85" zoomScaleNormal="100" zoomScaleSheetLayoutView="85" workbookViewId="0">
      <pane xSplit="3" ySplit="2" topLeftCell="D60" activePane="bottomRight" state="frozen"/>
      <selection activeCell="D9" sqref="D9"/>
      <selection pane="topRight" activeCell="D9" sqref="D9"/>
      <selection pane="bottomLeft" activeCell="D9" sqref="D9"/>
      <selection pane="bottomRight" activeCell="A6" sqref="A6:H72"/>
    </sheetView>
  </sheetViews>
  <sheetFormatPr defaultColWidth="9" defaultRowHeight="18"/>
  <cols>
    <col min="1" max="1" width="6" style="30" customWidth="1"/>
    <col min="2" max="2" width="51" style="30" customWidth="1"/>
    <col min="3" max="3" width="7.83203125" style="30" customWidth="1"/>
    <col min="4" max="4" width="12.08203125" style="30" customWidth="1"/>
    <col min="5" max="5" width="9.6640625" style="30" customWidth="1"/>
    <col min="6" max="6" width="12.08203125" style="30" customWidth="1"/>
    <col min="7" max="7" width="9.75" style="30" customWidth="1"/>
    <col min="8" max="8" width="12.08203125" style="553" customWidth="1"/>
    <col min="9" max="16384" width="9" style="30"/>
  </cols>
  <sheetData>
    <row r="1" spans="1:32">
      <c r="A1" s="16" t="s">
        <v>123</v>
      </c>
      <c r="B1" s="550"/>
      <c r="C1" s="550"/>
      <c r="D1" s="551"/>
      <c r="E1" s="551"/>
      <c r="F1" s="551"/>
      <c r="G1" s="551"/>
      <c r="H1" s="552"/>
    </row>
    <row r="2" spans="1:32" ht="17.25" customHeight="1">
      <c r="A2" s="571"/>
      <c r="B2" s="571"/>
      <c r="C2" s="571"/>
      <c r="D2" s="571"/>
    </row>
    <row r="3" spans="1:32" ht="17.25" customHeight="1">
      <c r="A3" s="575"/>
      <c r="B3" s="575"/>
      <c r="C3" s="575"/>
      <c r="D3" s="575"/>
    </row>
    <row r="4" spans="1:32" ht="14.25" customHeight="1">
      <c r="A4" s="577"/>
      <c r="B4" s="577"/>
      <c r="C4" s="577"/>
      <c r="D4" s="577"/>
    </row>
    <row r="5" spans="1:32" ht="14.25" hidden="1" customHeight="1">
      <c r="A5" s="406"/>
      <c r="B5" s="406"/>
      <c r="C5" s="406"/>
      <c r="D5" s="406"/>
      <c r="E5" s="406"/>
      <c r="F5" s="406"/>
      <c r="G5" s="406"/>
      <c r="H5" s="406"/>
    </row>
    <row r="6" spans="1:32" ht="31.5" customHeight="1">
      <c r="A6" s="572" t="s">
        <v>1</v>
      </c>
      <c r="B6" s="572" t="s">
        <v>151</v>
      </c>
      <c r="C6" s="572" t="s">
        <v>134</v>
      </c>
      <c r="D6" s="581" t="s">
        <v>1955</v>
      </c>
      <c r="E6" s="581"/>
      <c r="F6" s="581" t="s">
        <v>1956</v>
      </c>
      <c r="G6" s="581"/>
      <c r="H6" s="573" t="s">
        <v>1953</v>
      </c>
    </row>
    <row r="7" spans="1:32" ht="48.75" customHeight="1">
      <c r="A7" s="572"/>
      <c r="B7" s="572"/>
      <c r="C7" s="572"/>
      <c r="D7" s="407" t="s">
        <v>124</v>
      </c>
      <c r="E7" s="407" t="s">
        <v>135</v>
      </c>
      <c r="F7" s="407" t="s">
        <v>124</v>
      </c>
      <c r="G7" s="407" t="s">
        <v>135</v>
      </c>
      <c r="H7" s="574"/>
    </row>
    <row r="8" spans="1:32" ht="16.5" customHeight="1">
      <c r="A8" s="405"/>
      <c r="B8" s="101" t="s">
        <v>137</v>
      </c>
      <c r="C8" s="405"/>
      <c r="D8" s="554">
        <f>'01CH'!D7</f>
        <v>21510.165000000001</v>
      </c>
      <c r="E8" s="554">
        <f>D8/$D$8*100</f>
        <v>100</v>
      </c>
      <c r="F8" s="554">
        <f>'05CH'!D7</f>
        <v>21510.165000000001</v>
      </c>
      <c r="G8" s="554">
        <f>F8/$F$8*100</f>
        <v>100</v>
      </c>
      <c r="H8" s="564">
        <f>F8-D8</f>
        <v>0</v>
      </c>
    </row>
    <row r="9" spans="1:32" s="4" customFormat="1" ht="16.5" customHeight="1">
      <c r="A9" s="405">
        <v>1</v>
      </c>
      <c r="B9" s="81" t="s">
        <v>3</v>
      </c>
      <c r="C9" s="405" t="s">
        <v>4</v>
      </c>
      <c r="D9" s="554">
        <f>'01CH'!D8</f>
        <v>13048.259799999998</v>
      </c>
      <c r="E9" s="554">
        <f t="shared" ref="E9:E72" si="0">D9/$D$8*100</f>
        <v>60.660900555621012</v>
      </c>
      <c r="F9" s="554">
        <f>'05CH'!D8</f>
        <v>8209.9175519509918</v>
      </c>
      <c r="G9" s="554">
        <f t="shared" ref="G9:G72" si="1">F9/$F$8*100</f>
        <v>38.16761773771141</v>
      </c>
      <c r="H9" s="563">
        <f t="shared" ref="H9:H72" si="2">F9-D9</f>
        <v>-4838.3422480490062</v>
      </c>
    </row>
    <row r="10" spans="1:32">
      <c r="A10" s="405"/>
      <c r="B10" s="96" t="s">
        <v>176</v>
      </c>
      <c r="C10" s="405"/>
      <c r="D10" s="555">
        <f>'01CH'!D9</f>
        <v>0</v>
      </c>
      <c r="E10" s="555">
        <f t="shared" si="0"/>
        <v>0</v>
      </c>
      <c r="F10" s="555">
        <f>'05CH'!D9</f>
        <v>0</v>
      </c>
      <c r="G10" s="555">
        <f t="shared" si="1"/>
        <v>0</v>
      </c>
      <c r="H10" s="560">
        <f t="shared" si="2"/>
        <v>0</v>
      </c>
      <c r="I10" s="557"/>
      <c r="J10" s="557"/>
      <c r="K10" s="557"/>
      <c r="L10" s="557"/>
      <c r="M10" s="557"/>
      <c r="N10" s="557"/>
      <c r="O10" s="557"/>
      <c r="P10" s="557"/>
      <c r="Q10" s="557"/>
      <c r="S10" s="558"/>
      <c r="T10" s="558" t="e">
        <f>D10/$D$7*100</f>
        <v>#VALUE!</v>
      </c>
      <c r="U10" s="44"/>
      <c r="V10" s="44" t="s">
        <v>1954</v>
      </c>
      <c r="W10" s="44">
        <f>D9+D29</f>
        <v>13049.309799999997</v>
      </c>
      <c r="X10" s="559" t="e">
        <f>#REF!</f>
        <v>#REF!</v>
      </c>
      <c r="Y10" s="44"/>
      <c r="Z10" s="559" t="e">
        <f>SUM(#REF!)</f>
        <v>#REF!</v>
      </c>
      <c r="AA10" s="44"/>
      <c r="AB10" s="44"/>
      <c r="AC10" s="44"/>
      <c r="AD10" s="44"/>
      <c r="AE10" s="44"/>
      <c r="AF10" s="44"/>
    </row>
    <row r="11" spans="1:32" ht="16.5" customHeight="1">
      <c r="A11" s="105" t="s">
        <v>6</v>
      </c>
      <c r="B11" s="82" t="s">
        <v>81</v>
      </c>
      <c r="C11" s="105" t="s">
        <v>5</v>
      </c>
      <c r="D11" s="555">
        <f>'01CH'!D10</f>
        <v>5482.4019999999982</v>
      </c>
      <c r="E11" s="555">
        <f t="shared" si="0"/>
        <v>25.487493936006526</v>
      </c>
      <c r="F11" s="555">
        <f>'05CH'!D10</f>
        <v>4247.0216354529757</v>
      </c>
      <c r="G11" s="555">
        <f t="shared" si="1"/>
        <v>19.744254102434709</v>
      </c>
      <c r="H11" s="556">
        <f t="shared" si="2"/>
        <v>-1235.3803645470225</v>
      </c>
    </row>
    <row r="12" spans="1:32">
      <c r="A12" s="105"/>
      <c r="B12" s="82" t="s">
        <v>1778</v>
      </c>
      <c r="C12" s="105" t="s">
        <v>7</v>
      </c>
      <c r="D12" s="555">
        <f>'01CH'!D11</f>
        <v>4865.6354999999985</v>
      </c>
      <c r="E12" s="555">
        <f t="shared" si="0"/>
        <v>22.620168185599685</v>
      </c>
      <c r="F12" s="555">
        <f>'05CH'!D11</f>
        <v>4143.322135452976</v>
      </c>
      <c r="G12" s="555">
        <f t="shared" si="1"/>
        <v>19.26215877680611</v>
      </c>
      <c r="H12" s="556">
        <f t="shared" si="2"/>
        <v>-722.3133645470225</v>
      </c>
    </row>
    <row r="13" spans="1:32">
      <c r="A13" s="105"/>
      <c r="B13" s="82" t="s">
        <v>1779</v>
      </c>
      <c r="C13" s="105" t="s">
        <v>8</v>
      </c>
      <c r="D13" s="555">
        <f>'01CH'!D12</f>
        <v>616.76649999999995</v>
      </c>
      <c r="E13" s="555">
        <f t="shared" si="0"/>
        <v>2.8673257504068421</v>
      </c>
      <c r="F13" s="555">
        <f>'05CH'!D12</f>
        <v>103.69949999999989</v>
      </c>
      <c r="G13" s="555">
        <f t="shared" si="1"/>
        <v>0.48209532562860341</v>
      </c>
      <c r="H13" s="556">
        <f t="shared" si="2"/>
        <v>-513.06700000000001</v>
      </c>
    </row>
    <row r="14" spans="1:32">
      <c r="A14" s="105" t="s">
        <v>9</v>
      </c>
      <c r="B14" s="82" t="s">
        <v>1780</v>
      </c>
      <c r="C14" s="105" t="s">
        <v>11</v>
      </c>
      <c r="D14" s="555">
        <f>'01CH'!D13</f>
        <v>1746.8257999999998</v>
      </c>
      <c r="E14" s="555">
        <f t="shared" si="0"/>
        <v>8.1209316618445264</v>
      </c>
      <c r="F14" s="555">
        <f>'05CH'!D13</f>
        <v>1340.4663581530322</v>
      </c>
      <c r="G14" s="555">
        <f t="shared" si="1"/>
        <v>6.2317809191748745</v>
      </c>
      <c r="H14" s="556">
        <f t="shared" si="2"/>
        <v>-406.35944184696768</v>
      </c>
    </row>
    <row r="15" spans="1:32" ht="18.75" customHeight="1">
      <c r="A15" s="105" t="s">
        <v>10</v>
      </c>
      <c r="B15" s="82" t="s">
        <v>59</v>
      </c>
      <c r="C15" s="105" t="s">
        <v>13</v>
      </c>
      <c r="D15" s="555">
        <f>'01CH'!D14</f>
        <v>1171.1469999999999</v>
      </c>
      <c r="E15" s="555">
        <f t="shared" si="0"/>
        <v>5.4446211825897191</v>
      </c>
      <c r="F15" s="555">
        <f>'05CH'!D14</f>
        <v>643.93813063075038</v>
      </c>
      <c r="G15" s="555">
        <f t="shared" si="1"/>
        <v>2.9936457048597735</v>
      </c>
      <c r="H15" s="556">
        <f t="shared" si="2"/>
        <v>-527.20886936924956</v>
      </c>
    </row>
    <row r="16" spans="1:32" ht="18.75" customHeight="1">
      <c r="A16" s="105" t="s">
        <v>12</v>
      </c>
      <c r="B16" s="82" t="s">
        <v>60</v>
      </c>
      <c r="C16" s="105" t="s">
        <v>15</v>
      </c>
      <c r="D16" s="555">
        <f>'01CH'!D15</f>
        <v>0</v>
      </c>
      <c r="E16" s="555">
        <f t="shared" si="0"/>
        <v>0</v>
      </c>
      <c r="F16" s="555">
        <f>'05CH'!D15</f>
        <v>0</v>
      </c>
      <c r="G16" s="555">
        <f t="shared" si="1"/>
        <v>0</v>
      </c>
      <c r="H16" s="560">
        <f t="shared" si="2"/>
        <v>0</v>
      </c>
    </row>
    <row r="17" spans="1:32" ht="18.75" customHeight="1">
      <c r="A17" s="105" t="s">
        <v>14</v>
      </c>
      <c r="B17" s="82" t="s">
        <v>61</v>
      </c>
      <c r="C17" s="105" t="s">
        <v>16</v>
      </c>
      <c r="D17" s="555">
        <f>'01CH'!D16</f>
        <v>0</v>
      </c>
      <c r="E17" s="555">
        <f t="shared" si="0"/>
        <v>0</v>
      </c>
      <c r="F17" s="555">
        <f>'05CH'!D16</f>
        <v>0</v>
      </c>
      <c r="G17" s="555">
        <f t="shared" si="1"/>
        <v>0</v>
      </c>
      <c r="H17" s="560">
        <f t="shared" si="2"/>
        <v>0</v>
      </c>
    </row>
    <row r="18" spans="1:32" ht="18.75" customHeight="1">
      <c r="A18" s="105" t="s">
        <v>63</v>
      </c>
      <c r="B18" s="82" t="s">
        <v>62</v>
      </c>
      <c r="C18" s="105" t="s">
        <v>17</v>
      </c>
      <c r="D18" s="555">
        <f>'01CH'!D17</f>
        <v>0</v>
      </c>
      <c r="E18" s="555">
        <f t="shared" si="0"/>
        <v>0</v>
      </c>
      <c r="F18" s="555">
        <f>'05CH'!D17</f>
        <v>0</v>
      </c>
      <c r="G18" s="555">
        <f t="shared" si="1"/>
        <v>0</v>
      </c>
      <c r="H18" s="560">
        <f t="shared" si="2"/>
        <v>0</v>
      </c>
    </row>
    <row r="19" spans="1:32" ht="18.75" customHeight="1">
      <c r="A19" s="105"/>
      <c r="B19" s="82" t="s">
        <v>177</v>
      </c>
      <c r="C19" s="105" t="s">
        <v>163</v>
      </c>
      <c r="D19" s="555">
        <f>'01CH'!D18</f>
        <v>0</v>
      </c>
      <c r="E19" s="555">
        <f t="shared" si="0"/>
        <v>0</v>
      </c>
      <c r="F19" s="555">
        <f>'05CH'!D18</f>
        <v>0</v>
      </c>
      <c r="G19" s="555">
        <f t="shared" si="1"/>
        <v>0</v>
      </c>
      <c r="H19" s="560">
        <f t="shared" si="2"/>
        <v>0</v>
      </c>
    </row>
    <row r="20" spans="1:32" ht="15.75" customHeight="1">
      <c r="A20" s="105" t="s">
        <v>72</v>
      </c>
      <c r="B20" s="82" t="s">
        <v>71</v>
      </c>
      <c r="C20" s="105" t="s">
        <v>18</v>
      </c>
      <c r="D20" s="555">
        <f>'01CH'!D19</f>
        <v>4619.2620000000006</v>
      </c>
      <c r="E20" s="555">
        <f t="shared" si="0"/>
        <v>21.474786455612964</v>
      </c>
      <c r="F20" s="555">
        <f>'05CH'!D19</f>
        <v>1950.6084277142324</v>
      </c>
      <c r="G20" s="555">
        <f t="shared" si="1"/>
        <v>9.068309925629265</v>
      </c>
      <c r="H20" s="556">
        <f t="shared" si="2"/>
        <v>-2668.653572285768</v>
      </c>
    </row>
    <row r="21" spans="1:32" ht="15.75" customHeight="1">
      <c r="A21" s="105" t="s">
        <v>82</v>
      </c>
      <c r="B21" s="82" t="s">
        <v>1782</v>
      </c>
      <c r="C21" s="105" t="s">
        <v>1783</v>
      </c>
      <c r="D21" s="555">
        <f>'01CH'!D20</f>
        <v>0</v>
      </c>
      <c r="E21" s="555">
        <f t="shared" si="0"/>
        <v>0</v>
      </c>
      <c r="F21" s="555">
        <f>'05CH'!D20</f>
        <v>0</v>
      </c>
      <c r="G21" s="555">
        <f t="shared" si="1"/>
        <v>0</v>
      </c>
      <c r="H21" s="560">
        <f t="shared" si="2"/>
        <v>0</v>
      </c>
    </row>
    <row r="22" spans="1:32" ht="15.75" customHeight="1">
      <c r="A22" s="105" t="s">
        <v>85</v>
      </c>
      <c r="B22" s="82" t="s">
        <v>73</v>
      </c>
      <c r="C22" s="105" t="s">
        <v>19</v>
      </c>
      <c r="D22" s="555">
        <f>'01CH'!D21</f>
        <v>0</v>
      </c>
      <c r="E22" s="555">
        <f t="shared" si="0"/>
        <v>0</v>
      </c>
      <c r="F22" s="555">
        <f>'05CH'!D21</f>
        <v>0</v>
      </c>
      <c r="G22" s="555">
        <f t="shared" si="1"/>
        <v>0</v>
      </c>
      <c r="H22" s="560">
        <f t="shared" si="2"/>
        <v>0</v>
      </c>
    </row>
    <row r="23" spans="1:32" ht="16.5" customHeight="1">
      <c r="A23" s="105" t="s">
        <v>1781</v>
      </c>
      <c r="B23" s="82" t="s">
        <v>84</v>
      </c>
      <c r="C23" s="105" t="s">
        <v>20</v>
      </c>
      <c r="D23" s="555">
        <f>'01CH'!D22</f>
        <v>28.623000000000001</v>
      </c>
      <c r="E23" s="555">
        <f t="shared" si="0"/>
        <v>0.13306731956728365</v>
      </c>
      <c r="F23" s="555">
        <f>'05CH'!D22</f>
        <v>27.883000000000003</v>
      </c>
      <c r="G23" s="555">
        <f t="shared" si="1"/>
        <v>0.12962708561277889</v>
      </c>
      <c r="H23" s="556">
        <f t="shared" si="2"/>
        <v>-0.73999999999999844</v>
      </c>
    </row>
    <row r="24" spans="1:32" s="4" customFormat="1" ht="16.5" customHeight="1">
      <c r="A24" s="405">
        <v>2</v>
      </c>
      <c r="B24" s="81" t="s">
        <v>21</v>
      </c>
      <c r="C24" s="405" t="s">
        <v>22</v>
      </c>
      <c r="D24" s="554">
        <f>'01CH'!D23</f>
        <v>8461.9052000000011</v>
      </c>
      <c r="E24" s="554">
        <f t="shared" si="0"/>
        <v>39.339099444378974</v>
      </c>
      <c r="F24" s="554">
        <f>'05CH'!D23</f>
        <v>13300.247448049009</v>
      </c>
      <c r="G24" s="554">
        <f t="shared" si="1"/>
        <v>61.83238226228859</v>
      </c>
      <c r="H24" s="563">
        <f t="shared" si="2"/>
        <v>4838.342248049008</v>
      </c>
    </row>
    <row r="25" spans="1:32" s="45" customFormat="1" ht="16.5" customHeight="1">
      <c r="A25" s="106"/>
      <c r="B25" s="96" t="s">
        <v>176</v>
      </c>
      <c r="C25" s="106"/>
      <c r="D25" s="555">
        <f>'01CH'!D24</f>
        <v>0</v>
      </c>
      <c r="E25" s="555">
        <f t="shared" si="0"/>
        <v>0</v>
      </c>
      <c r="F25" s="555">
        <f>'05CH'!D24</f>
        <v>0</v>
      </c>
      <c r="G25" s="555">
        <f t="shared" si="1"/>
        <v>0</v>
      </c>
      <c r="H25" s="560">
        <f t="shared" si="2"/>
        <v>0</v>
      </c>
    </row>
    <row r="26" spans="1:32" ht="16.5" customHeight="1">
      <c r="A26" s="105" t="s">
        <v>23</v>
      </c>
      <c r="B26" s="82" t="s">
        <v>95</v>
      </c>
      <c r="C26" s="105" t="s">
        <v>56</v>
      </c>
      <c r="D26" s="555">
        <f>'01CH'!D25</f>
        <v>3207.9639999999999</v>
      </c>
      <c r="E26" s="555">
        <f t="shared" si="0"/>
        <v>14.913711726525575</v>
      </c>
      <c r="F26" s="555">
        <f>'05CH'!D25</f>
        <v>6338.3503424259588</v>
      </c>
      <c r="G26" s="555">
        <f t="shared" si="1"/>
        <v>29.466767653460391</v>
      </c>
      <c r="H26" s="556">
        <f t="shared" si="2"/>
        <v>3130.3863424259589</v>
      </c>
    </row>
    <row r="27" spans="1:32">
      <c r="A27" s="105" t="s">
        <v>25</v>
      </c>
      <c r="B27" s="82" t="s">
        <v>96</v>
      </c>
      <c r="C27" s="105" t="s">
        <v>55</v>
      </c>
      <c r="D27" s="555">
        <f>'01CH'!D26</f>
        <v>470.9131999999999</v>
      </c>
      <c r="E27" s="555">
        <f t="shared" si="0"/>
        <v>2.189258892249315</v>
      </c>
      <c r="F27" s="555">
        <f>'05CH'!D26</f>
        <v>629.86954286448952</v>
      </c>
      <c r="G27" s="555">
        <f t="shared" si="1"/>
        <v>2.928241335501097</v>
      </c>
      <c r="H27" s="556">
        <f t="shared" si="2"/>
        <v>158.95634286448961</v>
      </c>
      <c r="I27" s="561"/>
      <c r="J27" s="561"/>
      <c r="K27" s="561"/>
      <c r="L27" s="561"/>
      <c r="M27" s="561"/>
      <c r="N27" s="561"/>
      <c r="O27" s="561"/>
      <c r="P27" s="561"/>
      <c r="Q27" s="561"/>
      <c r="S27" s="558"/>
      <c r="T27" s="558" t="e">
        <f>D27/$D$7*100</f>
        <v>#VALUE!</v>
      </c>
      <c r="U27" s="44"/>
      <c r="V27" s="44" t="s">
        <v>1954</v>
      </c>
      <c r="W27" s="44">
        <f>D26+D45</f>
        <v>3335.3779999999997</v>
      </c>
      <c r="X27" s="562" t="e">
        <f>#REF!</f>
        <v>#REF!</v>
      </c>
      <c r="Y27" s="44"/>
      <c r="Z27" s="562" t="e">
        <f>SUM(#REF!)</f>
        <v>#REF!</v>
      </c>
      <c r="AA27" s="44"/>
      <c r="AB27" s="44"/>
      <c r="AC27" s="44"/>
      <c r="AD27" s="44"/>
      <c r="AE27" s="44"/>
      <c r="AF27" s="44"/>
    </row>
    <row r="28" spans="1:32" ht="16.5" customHeight="1">
      <c r="A28" s="105" t="s">
        <v>27</v>
      </c>
      <c r="B28" s="82" t="s">
        <v>90</v>
      </c>
      <c r="C28" s="105" t="s">
        <v>24</v>
      </c>
      <c r="D28" s="555">
        <f>'01CH'!D27</f>
        <v>14.737</v>
      </c>
      <c r="E28" s="555">
        <f t="shared" si="0"/>
        <v>6.8511794307482068E-2</v>
      </c>
      <c r="F28" s="555">
        <f>'05CH'!D27</f>
        <v>15.072100000000001</v>
      </c>
      <c r="G28" s="555">
        <f t="shared" si="1"/>
        <v>7.0069662413096312E-2</v>
      </c>
      <c r="H28" s="556">
        <f t="shared" si="2"/>
        <v>0.33510000000000062</v>
      </c>
    </row>
    <row r="29" spans="1:32" ht="16.5" customHeight="1">
      <c r="A29" s="105" t="s">
        <v>29</v>
      </c>
      <c r="B29" s="82" t="s">
        <v>64</v>
      </c>
      <c r="C29" s="105" t="s">
        <v>26</v>
      </c>
      <c r="D29" s="555">
        <f>'01CH'!D28</f>
        <v>1.05</v>
      </c>
      <c r="E29" s="555">
        <f t="shared" si="0"/>
        <v>4.881413043554059E-3</v>
      </c>
      <c r="F29" s="555">
        <f>'05CH'!D28</f>
        <v>7.0598489999999998</v>
      </c>
      <c r="G29" s="555">
        <f t="shared" si="1"/>
        <v>3.2820989518211503E-2</v>
      </c>
      <c r="H29" s="556">
        <f t="shared" si="2"/>
        <v>6.009849</v>
      </c>
    </row>
    <row r="30" spans="1:32" ht="16.5" customHeight="1">
      <c r="A30" s="105" t="s">
        <v>31</v>
      </c>
      <c r="B30" s="82" t="s">
        <v>65</v>
      </c>
      <c r="C30" s="105" t="s">
        <v>28</v>
      </c>
      <c r="D30" s="555">
        <f>'01CH'!D29</f>
        <v>1.754</v>
      </c>
      <c r="E30" s="555">
        <f t="shared" si="0"/>
        <v>8.1542842651369709E-3</v>
      </c>
      <c r="F30" s="555">
        <f>'05CH'!D29</f>
        <v>5.2509999999999994</v>
      </c>
      <c r="G30" s="555">
        <f t="shared" si="1"/>
        <v>2.4411714182573679E-2</v>
      </c>
      <c r="H30" s="556">
        <f t="shared" si="2"/>
        <v>3.4969999999999994</v>
      </c>
    </row>
    <row r="31" spans="1:32" ht="16.5" customHeight="1">
      <c r="A31" s="105" t="s">
        <v>33</v>
      </c>
      <c r="B31" s="82" t="s">
        <v>1784</v>
      </c>
      <c r="C31" s="105" t="s">
        <v>154</v>
      </c>
      <c r="D31" s="555">
        <f>'01CH'!D30</f>
        <v>97.384</v>
      </c>
      <c r="E31" s="555">
        <f t="shared" si="0"/>
        <v>0.45273478841282716</v>
      </c>
      <c r="F31" s="555">
        <f>'05CH'!D30</f>
        <v>106.7473</v>
      </c>
      <c r="G31" s="555">
        <f t="shared" si="1"/>
        <v>0.49626444055636015</v>
      </c>
      <c r="H31" s="556">
        <f t="shared" si="2"/>
        <v>9.3632999999999953</v>
      </c>
    </row>
    <row r="32" spans="1:32" s="45" customFormat="1" ht="16.5" customHeight="1">
      <c r="A32" s="106"/>
      <c r="B32" s="96" t="s">
        <v>176</v>
      </c>
      <c r="C32" s="106"/>
      <c r="D32" s="555">
        <f>'01CH'!D31</f>
        <v>0</v>
      </c>
      <c r="E32" s="555">
        <f t="shared" si="0"/>
        <v>0</v>
      </c>
      <c r="F32" s="555">
        <f>'05CH'!D31</f>
        <v>0</v>
      </c>
      <c r="G32" s="555">
        <f t="shared" si="1"/>
        <v>0</v>
      </c>
      <c r="H32" s="560">
        <f t="shared" si="2"/>
        <v>0</v>
      </c>
    </row>
    <row r="33" spans="1:32" ht="16.5" customHeight="1">
      <c r="A33" s="105" t="s">
        <v>140</v>
      </c>
      <c r="B33" s="82" t="s">
        <v>109</v>
      </c>
      <c r="C33" s="105" t="s">
        <v>46</v>
      </c>
      <c r="D33" s="555">
        <f>'01CH'!D32</f>
        <v>4.0259999999999998</v>
      </c>
      <c r="E33" s="555">
        <f t="shared" si="0"/>
        <v>1.8716732298427276E-2</v>
      </c>
      <c r="F33" s="555">
        <f>'05CH'!D32</f>
        <v>9.44</v>
      </c>
      <c r="G33" s="555">
        <f t="shared" si="1"/>
        <v>4.3886227743952677E-2</v>
      </c>
      <c r="H33" s="556">
        <f t="shared" si="2"/>
        <v>5.4139999999999997</v>
      </c>
    </row>
    <row r="34" spans="1:32">
      <c r="A34" s="105" t="s">
        <v>140</v>
      </c>
      <c r="B34" s="82" t="s">
        <v>1785</v>
      </c>
      <c r="C34" s="105" t="s">
        <v>51</v>
      </c>
      <c r="D34" s="555">
        <f>'01CH'!D33</f>
        <v>0.18</v>
      </c>
      <c r="E34" s="555">
        <f t="shared" si="0"/>
        <v>8.368136646092672E-4</v>
      </c>
      <c r="F34" s="555">
        <f>'05CH'!D33</f>
        <v>0.47789999999999999</v>
      </c>
      <c r="G34" s="555">
        <f t="shared" si="1"/>
        <v>2.2217402795376043E-3</v>
      </c>
      <c r="H34" s="556">
        <f t="shared" si="2"/>
        <v>0.2979</v>
      </c>
    </row>
    <row r="35" spans="1:32">
      <c r="A35" s="105" t="s">
        <v>140</v>
      </c>
      <c r="B35" s="108" t="s">
        <v>111</v>
      </c>
      <c r="C35" s="80" t="s">
        <v>47</v>
      </c>
      <c r="D35" s="555">
        <f>'01CH'!D34</f>
        <v>7.450000000000002</v>
      </c>
      <c r="E35" s="555">
        <f t="shared" si="0"/>
        <v>3.4634787785216906E-2</v>
      </c>
      <c r="F35" s="555">
        <f>'05CH'!D34</f>
        <v>8.8929999999999971</v>
      </c>
      <c r="G35" s="555">
        <f t="shared" si="1"/>
        <v>4.1343243996501175E-2</v>
      </c>
      <c r="H35" s="556">
        <f t="shared" si="2"/>
        <v>1.4429999999999952</v>
      </c>
    </row>
    <row r="36" spans="1:32" ht="18.5" customHeight="1">
      <c r="A36" s="105" t="s">
        <v>140</v>
      </c>
      <c r="B36" s="82" t="s">
        <v>166</v>
      </c>
      <c r="C36" s="105" t="s">
        <v>48</v>
      </c>
      <c r="D36" s="555">
        <f>'01CH'!D35</f>
        <v>75.915999999999997</v>
      </c>
      <c r="E36" s="555">
        <f t="shared" si="0"/>
        <v>0.35293081201376181</v>
      </c>
      <c r="F36" s="555">
        <f>'05CH'!D35</f>
        <v>77.584399999999988</v>
      </c>
      <c r="G36" s="555">
        <f t="shared" si="1"/>
        <v>0.36068714489172904</v>
      </c>
      <c r="H36" s="556">
        <f t="shared" si="2"/>
        <v>1.6683999999999912</v>
      </c>
    </row>
    <row r="37" spans="1:32">
      <c r="A37" s="105" t="s">
        <v>140</v>
      </c>
      <c r="B37" s="82" t="s">
        <v>1786</v>
      </c>
      <c r="C37" s="105" t="s">
        <v>49</v>
      </c>
      <c r="D37" s="555">
        <f>'01CH'!D36</f>
        <v>9.8119999999999994</v>
      </c>
      <c r="E37" s="555">
        <f t="shared" si="0"/>
        <v>4.5615642650811833E-2</v>
      </c>
      <c r="F37" s="555">
        <f>'05CH'!D36</f>
        <v>10.351999999999999</v>
      </c>
      <c r="G37" s="555">
        <f t="shared" si="1"/>
        <v>4.8126083644639633E-2</v>
      </c>
      <c r="H37" s="556">
        <f t="shared" si="2"/>
        <v>0.53999999999999915</v>
      </c>
      <c r="I37" s="561"/>
      <c r="J37" s="561"/>
      <c r="K37" s="561"/>
      <c r="L37" s="561"/>
      <c r="M37" s="561"/>
      <c r="N37" s="561"/>
      <c r="O37" s="561"/>
      <c r="P37" s="561"/>
      <c r="Q37" s="561"/>
      <c r="S37" s="558"/>
      <c r="T37" s="558" t="e">
        <f>D37/$D$7*100</f>
        <v>#VALUE!</v>
      </c>
      <c r="U37" s="44"/>
      <c r="V37" s="44" t="s">
        <v>1954</v>
      </c>
      <c r="W37" s="44">
        <f>D36+D55</f>
        <v>75.915999999999997</v>
      </c>
      <c r="X37" s="562" t="e">
        <f>#REF!</f>
        <v>#REF!</v>
      </c>
      <c r="Y37" s="44"/>
      <c r="Z37" s="562" t="e">
        <f>SUM(#REF!)</f>
        <v>#REF!</v>
      </c>
      <c r="AA37" s="44"/>
      <c r="AB37" s="44"/>
      <c r="AC37" s="44"/>
      <c r="AD37" s="44"/>
      <c r="AE37" s="44"/>
      <c r="AF37" s="44"/>
    </row>
    <row r="38" spans="1:32" ht="18.75" customHeight="1">
      <c r="A38" s="105" t="s">
        <v>140</v>
      </c>
      <c r="B38" s="82" t="s">
        <v>113</v>
      </c>
      <c r="C38" s="105" t="s">
        <v>50</v>
      </c>
      <c r="D38" s="555">
        <f>'01CH'!D37</f>
        <v>0</v>
      </c>
      <c r="E38" s="555">
        <f t="shared" si="0"/>
        <v>0</v>
      </c>
      <c r="F38" s="555">
        <f>'05CH'!D37</f>
        <v>0</v>
      </c>
      <c r="G38" s="555">
        <f t="shared" si="1"/>
        <v>0</v>
      </c>
      <c r="H38" s="560">
        <f t="shared" si="2"/>
        <v>0</v>
      </c>
    </row>
    <row r="39" spans="1:32" ht="17.25" customHeight="1">
      <c r="A39" s="105" t="s">
        <v>140</v>
      </c>
      <c r="B39" s="82" t="s">
        <v>1787</v>
      </c>
      <c r="C39" s="105" t="s">
        <v>1812</v>
      </c>
      <c r="D39" s="555">
        <f>'01CH'!D38</f>
        <v>0</v>
      </c>
      <c r="E39" s="555">
        <f t="shared" si="0"/>
        <v>0</v>
      </c>
      <c r="F39" s="555">
        <f>'05CH'!D38</f>
        <v>0</v>
      </c>
      <c r="G39" s="555">
        <f t="shared" si="1"/>
        <v>0</v>
      </c>
      <c r="H39" s="560">
        <f t="shared" si="2"/>
        <v>0</v>
      </c>
    </row>
    <row r="40" spans="1:32" ht="17.25" customHeight="1">
      <c r="A40" s="105" t="s">
        <v>140</v>
      </c>
      <c r="B40" s="82" t="s">
        <v>1788</v>
      </c>
      <c r="C40" s="105" t="s">
        <v>1813</v>
      </c>
      <c r="D40" s="555">
        <f>'01CH'!D39</f>
        <v>0</v>
      </c>
      <c r="E40" s="555">
        <f t="shared" si="0"/>
        <v>0</v>
      </c>
      <c r="F40" s="555">
        <f>'05CH'!D39</f>
        <v>0</v>
      </c>
      <c r="G40" s="555">
        <f t="shared" si="1"/>
        <v>0</v>
      </c>
      <c r="H40" s="560">
        <f t="shared" si="2"/>
        <v>0</v>
      </c>
    </row>
    <row r="41" spans="1:32" ht="17.25" customHeight="1">
      <c r="A41" s="105" t="s">
        <v>140</v>
      </c>
      <c r="B41" s="82" t="s">
        <v>97</v>
      </c>
      <c r="C41" s="105" t="s">
        <v>98</v>
      </c>
      <c r="D41" s="555">
        <f>'01CH'!D40</f>
        <v>0</v>
      </c>
      <c r="E41" s="555">
        <f t="shared" si="0"/>
        <v>0</v>
      </c>
      <c r="F41" s="555">
        <f>'05CH'!D40</f>
        <v>0</v>
      </c>
      <c r="G41" s="555">
        <f t="shared" si="1"/>
        <v>0</v>
      </c>
      <c r="H41" s="560">
        <f t="shared" si="2"/>
        <v>0</v>
      </c>
    </row>
    <row r="42" spans="1:32" ht="17.25" customHeight="1">
      <c r="A42" s="105" t="s">
        <v>140</v>
      </c>
      <c r="B42" s="82" t="s">
        <v>114</v>
      </c>
      <c r="C42" s="105" t="s">
        <v>116</v>
      </c>
      <c r="D42" s="555">
        <f>'01CH'!D41</f>
        <v>0</v>
      </c>
      <c r="E42" s="555">
        <f t="shared" si="0"/>
        <v>0</v>
      </c>
      <c r="F42" s="555">
        <f>'05CH'!D41</f>
        <v>0</v>
      </c>
      <c r="G42" s="555">
        <f t="shared" si="1"/>
        <v>0</v>
      </c>
      <c r="H42" s="560">
        <f t="shared" si="2"/>
        <v>0</v>
      </c>
    </row>
    <row r="43" spans="1:32" ht="17.25" customHeight="1">
      <c r="A43" s="105" t="s">
        <v>67</v>
      </c>
      <c r="B43" s="82" t="s">
        <v>1789</v>
      </c>
      <c r="C43" s="105" t="s">
        <v>155</v>
      </c>
      <c r="D43" s="555">
        <f>'01CH'!D42</f>
        <v>1167.5740000000001</v>
      </c>
      <c r="E43" s="555">
        <f t="shared" si="0"/>
        <v>5.4280104313472259</v>
      </c>
      <c r="F43" s="555">
        <f>'05CH'!D42</f>
        <v>2662.1342665600114</v>
      </c>
      <c r="G43" s="555">
        <f t="shared" si="1"/>
        <v>12.37616850712215</v>
      </c>
      <c r="H43" s="556">
        <f t="shared" si="2"/>
        <v>1494.5602665600113</v>
      </c>
    </row>
    <row r="44" spans="1:32" ht="17.25" customHeight="1">
      <c r="A44" s="105" t="s">
        <v>140</v>
      </c>
      <c r="B44" s="82" t="s">
        <v>66</v>
      </c>
      <c r="C44" s="105" t="s">
        <v>30</v>
      </c>
      <c r="D44" s="555">
        <f>'01CH'!D43</f>
        <v>878.40600000000006</v>
      </c>
      <c r="E44" s="555">
        <f t="shared" si="0"/>
        <v>4.0836785770820452</v>
      </c>
      <c r="F44" s="555">
        <f>'05CH'!D43</f>
        <v>1779.507564541213</v>
      </c>
      <c r="G44" s="555">
        <f t="shared" si="1"/>
        <v>8.2728680349091359</v>
      </c>
      <c r="H44" s="556">
        <f t="shared" si="2"/>
        <v>901.10156454121295</v>
      </c>
    </row>
    <row r="45" spans="1:32" ht="17.25" customHeight="1">
      <c r="A45" s="105" t="s">
        <v>140</v>
      </c>
      <c r="B45" s="82" t="s">
        <v>86</v>
      </c>
      <c r="C45" s="105" t="s">
        <v>87</v>
      </c>
      <c r="D45" s="555">
        <f>'01CH'!D44</f>
        <v>127.41399999999999</v>
      </c>
      <c r="E45" s="555">
        <f t="shared" si="0"/>
        <v>0.59234320145847308</v>
      </c>
      <c r="F45" s="555">
        <f>'05CH'!D44</f>
        <v>466.214</v>
      </c>
      <c r="G45" s="555">
        <f t="shared" si="1"/>
        <v>2.1674124768452496</v>
      </c>
      <c r="H45" s="556">
        <f t="shared" si="2"/>
        <v>338.8</v>
      </c>
    </row>
    <row r="46" spans="1:32" ht="17.25" customHeight="1">
      <c r="A46" s="105" t="s">
        <v>140</v>
      </c>
      <c r="B46" s="82" t="s">
        <v>1790</v>
      </c>
      <c r="C46" s="105" t="s">
        <v>1814</v>
      </c>
      <c r="D46" s="555">
        <f>'01CH'!D45</f>
        <v>0</v>
      </c>
      <c r="E46" s="555">
        <f t="shared" si="0"/>
        <v>0</v>
      </c>
      <c r="F46" s="555">
        <f>'05CH'!D45</f>
        <v>0</v>
      </c>
      <c r="G46" s="555">
        <f t="shared" si="1"/>
        <v>0</v>
      </c>
      <c r="H46" s="560">
        <f t="shared" si="2"/>
        <v>0</v>
      </c>
    </row>
    <row r="47" spans="1:32" ht="17.25" customHeight="1">
      <c r="A47" s="105" t="s">
        <v>140</v>
      </c>
      <c r="B47" s="82" t="s">
        <v>204</v>
      </c>
      <c r="C47" s="105" t="s">
        <v>88</v>
      </c>
      <c r="D47" s="555">
        <f>'01CH'!D46</f>
        <v>29.403999999999996</v>
      </c>
      <c r="E47" s="555">
        <f t="shared" si="0"/>
        <v>0.13669816107872718</v>
      </c>
      <c r="F47" s="555">
        <f>'05CH'!D46</f>
        <v>276.75270201879857</v>
      </c>
      <c r="G47" s="555">
        <f t="shared" si="1"/>
        <v>1.286613570927041</v>
      </c>
      <c r="H47" s="556">
        <f t="shared" si="2"/>
        <v>247.34870201879858</v>
      </c>
    </row>
    <row r="48" spans="1:32" ht="17.25" customHeight="1">
      <c r="A48" s="105" t="s">
        <v>140</v>
      </c>
      <c r="B48" s="82" t="s">
        <v>89</v>
      </c>
      <c r="C48" s="105" t="s">
        <v>32</v>
      </c>
      <c r="D48" s="555">
        <f>'01CH'!D47</f>
        <v>132.35</v>
      </c>
      <c r="E48" s="555">
        <f t="shared" si="0"/>
        <v>0.61529049172798067</v>
      </c>
      <c r="F48" s="555">
        <f>'05CH'!D47</f>
        <v>139.66000000000003</v>
      </c>
      <c r="G48" s="555">
        <f t="shared" si="1"/>
        <v>0.64927442444072381</v>
      </c>
      <c r="H48" s="556">
        <f t="shared" si="2"/>
        <v>7.3100000000000307</v>
      </c>
    </row>
    <row r="49" spans="1:8" ht="17.25" customHeight="1">
      <c r="A49" s="105" t="s">
        <v>140</v>
      </c>
      <c r="B49" s="108" t="s">
        <v>94</v>
      </c>
      <c r="C49" s="80" t="s">
        <v>34</v>
      </c>
      <c r="D49" s="555">
        <f>'01CH'!D48</f>
        <v>0</v>
      </c>
      <c r="E49" s="555">
        <f t="shared" si="0"/>
        <v>0</v>
      </c>
      <c r="F49" s="555">
        <f>'05CH'!D48</f>
        <v>0</v>
      </c>
      <c r="G49" s="555">
        <f t="shared" si="1"/>
        <v>0</v>
      </c>
      <c r="H49" s="560">
        <f t="shared" si="2"/>
        <v>0</v>
      </c>
    </row>
    <row r="50" spans="1:8" ht="18.75" customHeight="1">
      <c r="A50" s="105" t="s">
        <v>68</v>
      </c>
      <c r="B50" s="108" t="s">
        <v>1791</v>
      </c>
      <c r="C50" s="80" t="s">
        <v>156</v>
      </c>
      <c r="D50" s="555">
        <f>'01CH'!D49</f>
        <v>840.12699999999995</v>
      </c>
      <c r="E50" s="555">
        <f t="shared" si="0"/>
        <v>3.905720853373277</v>
      </c>
      <c r="F50" s="555">
        <f>'05CH'!D49</f>
        <v>1136.6032520000001</v>
      </c>
      <c r="G50" s="555">
        <f t="shared" si="1"/>
        <v>5.2840285139607257</v>
      </c>
      <c r="H50" s="556">
        <f t="shared" si="2"/>
        <v>296.47625200000016</v>
      </c>
    </row>
    <row r="51" spans="1:8" ht="18.75" customHeight="1">
      <c r="A51" s="105"/>
      <c r="B51" s="82" t="s">
        <v>176</v>
      </c>
      <c r="C51" s="105"/>
      <c r="D51" s="555">
        <f>'01CH'!D50</f>
        <v>0</v>
      </c>
      <c r="E51" s="555">
        <f t="shared" si="0"/>
        <v>0</v>
      </c>
      <c r="F51" s="555">
        <f>'05CH'!D50</f>
        <v>0</v>
      </c>
      <c r="G51" s="555">
        <f t="shared" si="1"/>
        <v>0</v>
      </c>
      <c r="H51" s="560">
        <f t="shared" si="2"/>
        <v>0</v>
      </c>
    </row>
    <row r="52" spans="1:8" ht="18.75" customHeight="1">
      <c r="A52" s="105" t="s">
        <v>140</v>
      </c>
      <c r="B52" s="82" t="s">
        <v>1792</v>
      </c>
      <c r="C52" s="105" t="s">
        <v>42</v>
      </c>
      <c r="D52" s="555">
        <f>'01CH'!D51</f>
        <v>796.83600000000001</v>
      </c>
      <c r="E52" s="555">
        <f t="shared" si="0"/>
        <v>3.7044625180699455</v>
      </c>
      <c r="F52" s="555">
        <f>'05CH'!D51</f>
        <v>984.23715200000004</v>
      </c>
      <c r="G52" s="555">
        <f t="shared" si="1"/>
        <v>4.5756838778317137</v>
      </c>
      <c r="H52" s="556">
        <f t="shared" si="2"/>
        <v>187.40115200000002</v>
      </c>
    </row>
    <row r="53" spans="1:8" ht="18.75" customHeight="1">
      <c r="A53" s="105" t="s">
        <v>140</v>
      </c>
      <c r="B53" s="82" t="s">
        <v>1793</v>
      </c>
      <c r="C53" s="105" t="s">
        <v>43</v>
      </c>
      <c r="D53" s="555">
        <f>'01CH'!D52</f>
        <v>0.78</v>
      </c>
      <c r="E53" s="555">
        <f t="shared" si="0"/>
        <v>3.6261925466401584E-3</v>
      </c>
      <c r="F53" s="555">
        <f>'05CH'!D52</f>
        <v>0.96000000000000019</v>
      </c>
      <c r="G53" s="555">
        <f t="shared" si="1"/>
        <v>4.4630062112494262E-3</v>
      </c>
      <c r="H53" s="556">
        <f t="shared" si="2"/>
        <v>0.18000000000000016</v>
      </c>
    </row>
    <row r="54" spans="1:8" ht="15.75" customHeight="1">
      <c r="A54" s="105" t="s">
        <v>140</v>
      </c>
      <c r="B54" s="82" t="s">
        <v>1794</v>
      </c>
      <c r="C54" s="105" t="s">
        <v>1815</v>
      </c>
      <c r="D54" s="555">
        <f>'01CH'!D53</f>
        <v>0</v>
      </c>
      <c r="E54" s="555">
        <f t="shared" si="0"/>
        <v>0</v>
      </c>
      <c r="F54" s="555">
        <f>'05CH'!D53</f>
        <v>0</v>
      </c>
      <c r="G54" s="555">
        <f t="shared" si="1"/>
        <v>0</v>
      </c>
      <c r="H54" s="560">
        <f t="shared" si="2"/>
        <v>0</v>
      </c>
    </row>
    <row r="55" spans="1:8" ht="15.75" customHeight="1">
      <c r="A55" s="105" t="s">
        <v>140</v>
      </c>
      <c r="B55" s="108" t="s">
        <v>1795</v>
      </c>
      <c r="C55" s="80" t="s">
        <v>1816</v>
      </c>
      <c r="D55" s="555">
        <f>'01CH'!D54</f>
        <v>0</v>
      </c>
      <c r="E55" s="555">
        <f t="shared" si="0"/>
        <v>0</v>
      </c>
      <c r="F55" s="555">
        <f>'05CH'!D54</f>
        <v>0</v>
      </c>
      <c r="G55" s="555">
        <f t="shared" si="1"/>
        <v>0</v>
      </c>
      <c r="H55" s="560">
        <f t="shared" si="2"/>
        <v>0</v>
      </c>
    </row>
    <row r="56" spans="1:8" ht="15.75" customHeight="1">
      <c r="A56" s="105" t="s">
        <v>140</v>
      </c>
      <c r="B56" s="108" t="s">
        <v>1796</v>
      </c>
      <c r="C56" s="80" t="s">
        <v>1817</v>
      </c>
      <c r="D56" s="555">
        <f>'01CH'!D55</f>
        <v>0.67300000000000004</v>
      </c>
      <c r="E56" s="555">
        <f t="shared" si="0"/>
        <v>3.1287533126779831E-3</v>
      </c>
      <c r="F56" s="555">
        <f>'05CH'!D55</f>
        <v>1.64</v>
      </c>
      <c r="G56" s="555">
        <f t="shared" si="1"/>
        <v>7.6243022775511022E-3</v>
      </c>
      <c r="H56" s="556">
        <f t="shared" si="2"/>
        <v>0.96699999999999986</v>
      </c>
    </row>
    <row r="57" spans="1:8" ht="15.75" customHeight="1">
      <c r="A57" s="105" t="s">
        <v>140</v>
      </c>
      <c r="B57" s="82" t="s">
        <v>1797</v>
      </c>
      <c r="C57" s="105" t="s">
        <v>36</v>
      </c>
      <c r="D57" s="555">
        <f>'01CH'!D56</f>
        <v>0.13</v>
      </c>
      <c r="E57" s="555">
        <f t="shared" si="0"/>
        <v>6.0436542444002636E-4</v>
      </c>
      <c r="F57" s="555">
        <f>'05CH'!D56</f>
        <v>0.13</v>
      </c>
      <c r="G57" s="555">
        <f t="shared" si="1"/>
        <v>6.0436542444002636E-4</v>
      </c>
      <c r="H57" s="560">
        <f t="shared" si="2"/>
        <v>0</v>
      </c>
    </row>
    <row r="58" spans="1:8" ht="15.75" customHeight="1">
      <c r="A58" s="105" t="s">
        <v>140</v>
      </c>
      <c r="B58" s="82" t="s">
        <v>1798</v>
      </c>
      <c r="C58" s="105" t="s">
        <v>44</v>
      </c>
      <c r="D58" s="555">
        <f>'01CH'!D57</f>
        <v>1.6460000000000001</v>
      </c>
      <c r="E58" s="555">
        <f t="shared" si="0"/>
        <v>7.652196066371411E-3</v>
      </c>
      <c r="F58" s="555">
        <f>'05CH'!D57</f>
        <v>108.866</v>
      </c>
      <c r="G58" s="555">
        <f t="shared" si="1"/>
        <v>0.50611420228529158</v>
      </c>
      <c r="H58" s="556">
        <f t="shared" si="2"/>
        <v>107.22</v>
      </c>
    </row>
    <row r="59" spans="1:8" ht="21" customHeight="1">
      <c r="A59" s="105" t="s">
        <v>140</v>
      </c>
      <c r="B59" s="108" t="s">
        <v>1799</v>
      </c>
      <c r="C59" s="80" t="s">
        <v>45</v>
      </c>
      <c r="D59" s="555">
        <f>'01CH'!D58</f>
        <v>0.67200000000000015</v>
      </c>
      <c r="E59" s="555">
        <f t="shared" si="0"/>
        <v>3.124104347874598E-3</v>
      </c>
      <c r="F59" s="555">
        <f>'05CH'!D58</f>
        <v>0.63200000000000012</v>
      </c>
      <c r="G59" s="555">
        <f t="shared" si="1"/>
        <v>2.9381457557392057E-3</v>
      </c>
      <c r="H59" s="556">
        <f t="shared" si="2"/>
        <v>-4.0000000000000036E-2</v>
      </c>
    </row>
    <row r="60" spans="1:8">
      <c r="A60" s="105" t="s">
        <v>140</v>
      </c>
      <c r="B60" s="108" t="s">
        <v>1800</v>
      </c>
      <c r="C60" s="80" t="s">
        <v>52</v>
      </c>
      <c r="D60" s="555">
        <f>'01CH'!D59</f>
        <v>3.1280000000000001</v>
      </c>
      <c r="E60" s="555">
        <f t="shared" si="0"/>
        <v>1.4541961904987712E-2</v>
      </c>
      <c r="F60" s="555">
        <f>'05CH'!D59</f>
        <v>3.1080000000000001</v>
      </c>
      <c r="G60" s="555">
        <f t="shared" si="1"/>
        <v>1.4448982608920014E-2</v>
      </c>
      <c r="H60" s="556">
        <f t="shared" si="2"/>
        <v>-2.0000000000000018E-2</v>
      </c>
    </row>
    <row r="61" spans="1:8">
      <c r="A61" s="105" t="s">
        <v>140</v>
      </c>
      <c r="B61" s="108" t="s">
        <v>1801</v>
      </c>
      <c r="C61" s="80" t="s">
        <v>101</v>
      </c>
      <c r="D61" s="555">
        <f>'01CH'!D60</f>
        <v>36.262</v>
      </c>
      <c r="E61" s="555">
        <f t="shared" si="0"/>
        <v>0.16858076170034028</v>
      </c>
      <c r="F61" s="555">
        <f>'05CH'!D60</f>
        <v>37.030099999999997</v>
      </c>
      <c r="G61" s="555">
        <f t="shared" si="1"/>
        <v>0.17215163156582014</v>
      </c>
      <c r="H61" s="556">
        <f t="shared" si="2"/>
        <v>0.7680999999999969</v>
      </c>
    </row>
    <row r="62" spans="1:8">
      <c r="A62" s="105" t="s">
        <v>69</v>
      </c>
      <c r="B62" s="108" t="s">
        <v>1802</v>
      </c>
      <c r="C62" s="80" t="s">
        <v>37</v>
      </c>
      <c r="D62" s="555">
        <f>'01CH'!D61</f>
        <v>35.978000000000002</v>
      </c>
      <c r="E62" s="555">
        <f t="shared" si="0"/>
        <v>0.16726045569617898</v>
      </c>
      <c r="F62" s="555">
        <f>'05CH'!D61</f>
        <v>13.228512000000002</v>
      </c>
      <c r="G62" s="555">
        <f t="shared" si="1"/>
        <v>6.1498886689153723E-2</v>
      </c>
      <c r="H62" s="556">
        <f t="shared" si="2"/>
        <v>-22.749487999999999</v>
      </c>
    </row>
    <row r="63" spans="1:8">
      <c r="A63" s="105" t="s">
        <v>70</v>
      </c>
      <c r="B63" s="108" t="s">
        <v>1803</v>
      </c>
      <c r="C63" s="80" t="s">
        <v>38</v>
      </c>
      <c r="D63" s="555">
        <f>'01CH'!D62</f>
        <v>13.515000000000002</v>
      </c>
      <c r="E63" s="555">
        <f t="shared" si="0"/>
        <v>6.283075931774583E-2</v>
      </c>
      <c r="F63" s="555">
        <f>'05CH'!D62</f>
        <v>35.667999999999999</v>
      </c>
      <c r="G63" s="555">
        <f t="shared" si="1"/>
        <v>0.1658192766071297</v>
      </c>
      <c r="H63" s="556">
        <f t="shared" si="2"/>
        <v>22.152999999999999</v>
      </c>
    </row>
    <row r="64" spans="1:8" ht="31">
      <c r="A64" s="109" t="s">
        <v>74</v>
      </c>
      <c r="B64" s="108" t="s">
        <v>1804</v>
      </c>
      <c r="C64" s="80" t="s">
        <v>39</v>
      </c>
      <c r="D64" s="555">
        <f>'01CH'!D63</f>
        <v>119.02200000000001</v>
      </c>
      <c r="E64" s="555">
        <f t="shared" si="0"/>
        <v>0.55332908882846787</v>
      </c>
      <c r="F64" s="555">
        <f>'05CH'!D63</f>
        <v>133.15657319854844</v>
      </c>
      <c r="G64" s="555">
        <f t="shared" si="1"/>
        <v>0.61904022213938592</v>
      </c>
      <c r="H64" s="556">
        <f t="shared" si="2"/>
        <v>14.134573198548438</v>
      </c>
    </row>
    <row r="65" spans="1:8">
      <c r="A65" s="105" t="s">
        <v>75</v>
      </c>
      <c r="B65" s="108" t="s">
        <v>76</v>
      </c>
      <c r="C65" s="80" t="s">
        <v>1856</v>
      </c>
      <c r="D65" s="555">
        <f>'01CH'!D64</f>
        <v>2491.8869999999997</v>
      </c>
      <c r="E65" s="555">
        <f t="shared" si="0"/>
        <v>11.584694957012182</v>
      </c>
      <c r="F65" s="555">
        <f>'05CH'!D64</f>
        <v>2217.10671</v>
      </c>
      <c r="G65" s="555">
        <f t="shared" si="1"/>
        <v>10.307251060138311</v>
      </c>
      <c r="H65" s="556">
        <f t="shared" si="2"/>
        <v>-274.7802899999997</v>
      </c>
    </row>
    <row r="66" spans="1:8">
      <c r="A66" s="105" t="s">
        <v>80</v>
      </c>
      <c r="B66" s="82" t="s">
        <v>103</v>
      </c>
      <c r="C66" s="105" t="s">
        <v>53</v>
      </c>
      <c r="D66" s="555">
        <f>'01CH'!D65</f>
        <v>0</v>
      </c>
      <c r="E66" s="555">
        <f t="shared" si="0"/>
        <v>0</v>
      </c>
      <c r="F66" s="555">
        <f>'05CH'!D65</f>
        <v>0</v>
      </c>
      <c r="G66" s="555">
        <f t="shared" si="1"/>
        <v>0</v>
      </c>
      <c r="H66" s="560">
        <f t="shared" si="2"/>
        <v>0</v>
      </c>
    </row>
    <row r="67" spans="1:8" s="4" customFormat="1" ht="17.5">
      <c r="A67" s="405">
        <v>3</v>
      </c>
      <c r="B67" s="81" t="s">
        <v>54</v>
      </c>
      <c r="C67" s="405" t="s">
        <v>79</v>
      </c>
      <c r="D67" s="554">
        <f>'01CH'!D66</f>
        <v>0</v>
      </c>
      <c r="E67" s="555">
        <f t="shared" si="0"/>
        <v>0</v>
      </c>
      <c r="F67" s="554">
        <f>'05CH'!D66</f>
        <v>0</v>
      </c>
      <c r="G67" s="555">
        <f t="shared" si="1"/>
        <v>0</v>
      </c>
      <c r="H67" s="560">
        <f t="shared" si="2"/>
        <v>0</v>
      </c>
    </row>
    <row r="68" spans="1:8" ht="31">
      <c r="A68" s="105" t="s">
        <v>1807</v>
      </c>
      <c r="B68" s="82" t="s">
        <v>1805</v>
      </c>
      <c r="C68" s="105" t="s">
        <v>1818</v>
      </c>
      <c r="D68" s="555">
        <f>'01CH'!D67</f>
        <v>0</v>
      </c>
      <c r="E68" s="555">
        <f t="shared" si="0"/>
        <v>0</v>
      </c>
      <c r="F68" s="555">
        <f>'05CH'!D67</f>
        <v>0</v>
      </c>
      <c r="G68" s="555">
        <f t="shared" si="1"/>
        <v>0</v>
      </c>
      <c r="H68" s="560">
        <f t="shared" si="2"/>
        <v>0</v>
      </c>
    </row>
    <row r="69" spans="1:8">
      <c r="A69" s="105" t="s">
        <v>1808</v>
      </c>
      <c r="B69" s="82" t="s">
        <v>157</v>
      </c>
      <c r="C69" s="105" t="s">
        <v>158</v>
      </c>
      <c r="D69" s="555">
        <f>'01CH'!D68</f>
        <v>0</v>
      </c>
      <c r="E69" s="555">
        <f t="shared" si="0"/>
        <v>0</v>
      </c>
      <c r="F69" s="555">
        <f>'05CH'!D68</f>
        <v>0</v>
      </c>
      <c r="G69" s="555">
        <f t="shared" si="1"/>
        <v>0</v>
      </c>
      <c r="H69" s="560">
        <f t="shared" si="2"/>
        <v>0</v>
      </c>
    </row>
    <row r="70" spans="1:8">
      <c r="A70" s="105" t="s">
        <v>1809</v>
      </c>
      <c r="B70" s="82" t="s">
        <v>159</v>
      </c>
      <c r="C70" s="105" t="s">
        <v>160</v>
      </c>
      <c r="D70" s="555">
        <f>'01CH'!D69</f>
        <v>0</v>
      </c>
      <c r="E70" s="555">
        <f t="shared" si="0"/>
        <v>0</v>
      </c>
      <c r="F70" s="555">
        <f>'05CH'!D69</f>
        <v>0</v>
      </c>
      <c r="G70" s="555">
        <f t="shared" si="1"/>
        <v>0</v>
      </c>
      <c r="H70" s="560">
        <f t="shared" si="2"/>
        <v>0</v>
      </c>
    </row>
    <row r="71" spans="1:8">
      <c r="A71" s="105" t="s">
        <v>1810</v>
      </c>
      <c r="B71" s="82" t="s">
        <v>161</v>
      </c>
      <c r="C71" s="105" t="s">
        <v>162</v>
      </c>
      <c r="D71" s="555">
        <f>'01CH'!D70</f>
        <v>0</v>
      </c>
      <c r="E71" s="555">
        <f t="shared" si="0"/>
        <v>0</v>
      </c>
      <c r="F71" s="555">
        <f>'05CH'!D70</f>
        <v>0</v>
      </c>
      <c r="G71" s="555">
        <f t="shared" si="1"/>
        <v>0</v>
      </c>
      <c r="H71" s="560">
        <f t="shared" si="2"/>
        <v>0</v>
      </c>
    </row>
    <row r="72" spans="1:8">
      <c r="A72" s="105" t="s">
        <v>1811</v>
      </c>
      <c r="B72" s="82" t="s">
        <v>1806</v>
      </c>
      <c r="C72" s="105" t="s">
        <v>1819</v>
      </c>
      <c r="D72" s="555">
        <f>'01CH'!D71</f>
        <v>0</v>
      </c>
      <c r="E72" s="555">
        <f t="shared" si="0"/>
        <v>0</v>
      </c>
      <c r="F72" s="555">
        <f>'05CH'!D71</f>
        <v>0</v>
      </c>
      <c r="G72" s="555">
        <f t="shared" si="1"/>
        <v>0</v>
      </c>
      <c r="H72" s="560">
        <f t="shared" si="2"/>
        <v>0</v>
      </c>
    </row>
    <row r="73" spans="1:8">
      <c r="H73" s="565"/>
    </row>
  </sheetData>
  <mergeCells count="9">
    <mergeCell ref="F6:G6"/>
    <mergeCell ref="H6:H7"/>
    <mergeCell ref="A2:D2"/>
    <mergeCell ref="A3:D3"/>
    <mergeCell ref="A4:D4"/>
    <mergeCell ref="A6:A7"/>
    <mergeCell ref="B6:B7"/>
    <mergeCell ref="C6:C7"/>
    <mergeCell ref="D6:E6"/>
  </mergeCells>
  <printOptions horizontalCentered="1"/>
  <pageMargins left="0.59055118110236227" right="0.19685039370078741" top="0.31496062992125984" bottom="0.19685039370078741" header="0" footer="0"/>
  <pageSetup paperSize="8"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92D050"/>
  </sheetPr>
  <dimension ref="A1:C16"/>
  <sheetViews>
    <sheetView view="pageBreakPreview" topLeftCell="A9" zoomScaleNormal="100" zoomScaleSheetLayoutView="100" workbookViewId="0">
      <selection activeCell="F12" sqref="F12"/>
    </sheetView>
  </sheetViews>
  <sheetFormatPr defaultColWidth="9" defaultRowHeight="18"/>
  <cols>
    <col min="1" max="1" width="7.58203125" style="15" customWidth="1"/>
    <col min="2" max="2" width="16.08203125" style="15" customWidth="1"/>
    <col min="3" max="3" width="58.5" style="15" customWidth="1"/>
    <col min="4" max="16384" width="9" style="19"/>
  </cols>
  <sheetData>
    <row r="1" spans="1:3" ht="21.75" customHeight="1">
      <c r="A1" s="566" t="s">
        <v>235</v>
      </c>
      <c r="B1" s="566"/>
    </row>
    <row r="2" spans="1:3" ht="21.75" customHeight="1">
      <c r="A2" s="567" t="s">
        <v>1761</v>
      </c>
      <c r="B2" s="567"/>
      <c r="C2" s="567"/>
    </row>
    <row r="3" spans="1:3" ht="21.75" customHeight="1">
      <c r="A3" s="567" t="s">
        <v>214</v>
      </c>
      <c r="B3" s="567"/>
      <c r="C3" s="567"/>
    </row>
    <row r="4" spans="1:3" ht="35.5" customHeight="1">
      <c r="A4" s="568" t="s">
        <v>1762</v>
      </c>
      <c r="B4" s="568"/>
      <c r="C4" s="568"/>
    </row>
    <row r="5" spans="1:3" ht="11.5" customHeight="1"/>
    <row r="6" spans="1:3" ht="41.25" customHeight="1">
      <c r="A6" s="20" t="s">
        <v>1</v>
      </c>
      <c r="B6" s="20" t="s">
        <v>141</v>
      </c>
      <c r="C6" s="20" t="s">
        <v>142</v>
      </c>
    </row>
    <row r="7" spans="1:3" ht="48.75" customHeight="1">
      <c r="A7" s="21">
        <v>1</v>
      </c>
      <c r="B7" s="22" t="s">
        <v>143</v>
      </c>
      <c r="C7" s="22" t="s">
        <v>1763</v>
      </c>
    </row>
    <row r="8" spans="1:3" ht="48.75" hidden="1" customHeight="1">
      <c r="A8" s="21">
        <v>2</v>
      </c>
      <c r="B8" s="22" t="s">
        <v>238</v>
      </c>
      <c r="C8" s="22" t="s">
        <v>239</v>
      </c>
    </row>
    <row r="9" spans="1:3" ht="48.75" customHeight="1">
      <c r="A9" s="21">
        <v>2</v>
      </c>
      <c r="B9" s="22" t="s">
        <v>144</v>
      </c>
      <c r="C9" s="22" t="s">
        <v>215</v>
      </c>
    </row>
    <row r="10" spans="1:3" ht="48.75" hidden="1" customHeight="1">
      <c r="A10" s="21">
        <v>4</v>
      </c>
      <c r="B10" s="22" t="s">
        <v>236</v>
      </c>
      <c r="C10" s="22" t="s">
        <v>233</v>
      </c>
    </row>
    <row r="11" spans="1:3" ht="48.75" customHeight="1">
      <c r="A11" s="21">
        <v>3</v>
      </c>
      <c r="B11" s="22" t="s">
        <v>1764</v>
      </c>
      <c r="C11" s="22" t="s">
        <v>1765</v>
      </c>
    </row>
    <row r="12" spans="1:3" ht="48.75" customHeight="1">
      <c r="A12" s="21">
        <v>4</v>
      </c>
      <c r="B12" s="22" t="s">
        <v>145</v>
      </c>
      <c r="C12" s="22" t="s">
        <v>1766</v>
      </c>
    </row>
    <row r="13" spans="1:3" ht="54" customHeight="1">
      <c r="A13" s="21">
        <v>5</v>
      </c>
      <c r="B13" s="22" t="s">
        <v>146</v>
      </c>
      <c r="C13" s="22" t="s">
        <v>1767</v>
      </c>
    </row>
    <row r="14" spans="1:3" ht="48.75" customHeight="1">
      <c r="A14" s="21">
        <v>6</v>
      </c>
      <c r="B14" s="22" t="s">
        <v>1768</v>
      </c>
      <c r="C14" s="22" t="s">
        <v>1769</v>
      </c>
    </row>
    <row r="15" spans="1:3" ht="48.75" customHeight="1">
      <c r="A15" s="21">
        <v>7</v>
      </c>
      <c r="B15" s="22" t="s">
        <v>152</v>
      </c>
      <c r="C15" s="22" t="s">
        <v>216</v>
      </c>
    </row>
    <row r="16" spans="1:3" ht="47.25" hidden="1" customHeight="1">
      <c r="A16" s="21">
        <v>10</v>
      </c>
      <c r="B16" s="22" t="s">
        <v>237</v>
      </c>
      <c r="C16" s="22" t="s">
        <v>234</v>
      </c>
    </row>
  </sheetData>
  <mergeCells count="4">
    <mergeCell ref="A1:B1"/>
    <mergeCell ref="A2:C2"/>
    <mergeCell ref="A3:C3"/>
    <mergeCell ref="A4:C4"/>
  </mergeCells>
  <printOptions horizontalCentered="1"/>
  <pageMargins left="0.51181102362204722" right="0.31496062992125984" top="0.55118110236220474"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92D050"/>
  </sheetPr>
  <dimension ref="A1:AQ71"/>
  <sheetViews>
    <sheetView view="pageBreakPreview" zoomScale="90" zoomScaleNormal="70" zoomScaleSheetLayoutView="90" workbookViewId="0">
      <pane xSplit="4" ySplit="6" topLeftCell="N7" activePane="bottomRight" state="frozen"/>
      <selection activeCell="AY84" sqref="AY84"/>
      <selection pane="topRight" activeCell="AY84" sqref="AY84"/>
      <selection pane="bottomLeft" activeCell="AY84" sqref="AY84"/>
      <selection pane="bottomRight" activeCell="A7" sqref="A7:C71"/>
    </sheetView>
  </sheetViews>
  <sheetFormatPr defaultColWidth="9" defaultRowHeight="14"/>
  <cols>
    <col min="1" max="1" width="6.58203125" style="13" customWidth="1"/>
    <col min="2" max="2" width="56" style="13" customWidth="1"/>
    <col min="3" max="3" width="9.33203125" style="13" customWidth="1"/>
    <col min="4" max="4" width="14.83203125" style="13" customWidth="1"/>
    <col min="5" max="19" width="10.25" style="13" customWidth="1"/>
    <col min="20" max="20" width="11.33203125" style="13" customWidth="1"/>
    <col min="21" max="22" width="10.25" style="38" customWidth="1"/>
    <col min="23" max="24" width="9" style="36"/>
    <col min="25" max="25" width="11.83203125" style="36" bestFit="1" customWidth="1"/>
    <col min="26" max="26" width="11" style="36" customWidth="1"/>
    <col min="27" max="27" width="10.08203125" style="36" customWidth="1"/>
    <col min="28" max="28" width="11.5" style="36" customWidth="1"/>
    <col min="29" max="29" width="9.08203125" style="36" bestFit="1" customWidth="1"/>
    <col min="30" max="34" width="9" style="36"/>
    <col min="35" max="16384" width="9" style="13"/>
  </cols>
  <sheetData>
    <row r="1" spans="1:34" s="4" customFormat="1" ht="21.75" customHeight="1">
      <c r="A1" s="16" t="s">
        <v>123</v>
      </c>
      <c r="B1" s="16"/>
      <c r="C1" s="16"/>
      <c r="D1" s="47"/>
      <c r="E1" s="47"/>
      <c r="F1" s="47"/>
      <c r="G1" s="47"/>
      <c r="H1" s="47"/>
      <c r="I1" s="47"/>
      <c r="J1" s="47"/>
      <c r="K1" s="47"/>
      <c r="L1" s="47"/>
      <c r="M1" s="47"/>
      <c r="N1" s="47"/>
      <c r="O1" s="47"/>
      <c r="P1" s="47"/>
      <c r="Q1" s="47"/>
      <c r="R1" s="16"/>
      <c r="S1" s="16"/>
      <c r="U1" s="37"/>
      <c r="V1" s="39"/>
      <c r="W1" s="35"/>
      <c r="X1" s="35"/>
      <c r="Y1" s="35"/>
      <c r="Z1" s="35"/>
      <c r="AA1" s="35"/>
      <c r="AB1" s="35"/>
      <c r="AC1" s="35"/>
      <c r="AD1" s="35"/>
      <c r="AE1" s="35"/>
      <c r="AF1" s="35"/>
      <c r="AG1" s="35"/>
      <c r="AH1" s="35"/>
    </row>
    <row r="2" spans="1:34" s="4" customFormat="1" ht="21.75" customHeight="1">
      <c r="A2" s="571" t="s">
        <v>1770</v>
      </c>
      <c r="B2" s="571"/>
      <c r="C2" s="571"/>
      <c r="D2" s="571"/>
      <c r="E2" s="571"/>
      <c r="F2" s="571"/>
      <c r="G2" s="571"/>
      <c r="H2" s="571"/>
      <c r="I2" s="571"/>
      <c r="J2" s="571"/>
      <c r="K2" s="571"/>
      <c r="L2" s="571"/>
      <c r="M2" s="571"/>
      <c r="N2" s="571"/>
      <c r="O2" s="571"/>
      <c r="P2" s="571"/>
      <c r="Q2" s="571"/>
      <c r="R2" s="571"/>
      <c r="S2" s="571"/>
      <c r="U2" s="569"/>
      <c r="V2" s="570"/>
      <c r="W2" s="35"/>
      <c r="X2" s="35"/>
      <c r="Y2" s="35"/>
      <c r="Z2" s="35"/>
      <c r="AA2" s="35"/>
      <c r="AB2" s="35"/>
      <c r="AC2" s="35"/>
      <c r="AD2" s="35"/>
      <c r="AE2" s="35"/>
      <c r="AF2" s="35"/>
      <c r="AG2" s="35"/>
      <c r="AH2" s="35"/>
    </row>
    <row r="3" spans="1:34" s="4" customFormat="1" ht="21.75" customHeight="1">
      <c r="A3" s="575" t="s">
        <v>214</v>
      </c>
      <c r="B3" s="575"/>
      <c r="C3" s="575"/>
      <c r="D3" s="575"/>
      <c r="E3" s="575"/>
      <c r="F3" s="575"/>
      <c r="G3" s="575"/>
      <c r="H3" s="575"/>
      <c r="I3" s="575"/>
      <c r="J3" s="575"/>
      <c r="K3" s="575"/>
      <c r="L3" s="575"/>
      <c r="M3" s="575"/>
      <c r="N3" s="575"/>
      <c r="O3" s="575"/>
      <c r="P3" s="575"/>
      <c r="Q3" s="575"/>
      <c r="R3" s="575"/>
      <c r="S3" s="575"/>
      <c r="U3" s="569"/>
      <c r="V3" s="570"/>
      <c r="W3" s="35"/>
      <c r="X3" s="35"/>
      <c r="Y3" s="35"/>
      <c r="Z3" s="35"/>
      <c r="AA3" s="35"/>
      <c r="AB3" s="35"/>
      <c r="AC3" s="35"/>
      <c r="AD3" s="35"/>
      <c r="AE3" s="35"/>
      <c r="AF3" s="35"/>
      <c r="AG3" s="35"/>
      <c r="AH3" s="35"/>
    </row>
    <row r="4" spans="1:34" s="77" customFormat="1" ht="18">
      <c r="A4" s="577" t="s">
        <v>0</v>
      </c>
      <c r="B4" s="577"/>
      <c r="C4" s="577"/>
      <c r="D4" s="577"/>
      <c r="E4" s="577"/>
      <c r="F4" s="577"/>
      <c r="G4" s="577"/>
      <c r="H4" s="577"/>
      <c r="I4" s="577"/>
      <c r="J4" s="577"/>
      <c r="K4" s="577"/>
      <c r="L4" s="577"/>
      <c r="M4" s="577"/>
      <c r="N4" s="577"/>
      <c r="O4" s="577"/>
      <c r="P4" s="577"/>
      <c r="Q4" s="577"/>
      <c r="R4" s="577"/>
      <c r="S4" s="577"/>
      <c r="U4" s="569"/>
      <c r="V4" s="570"/>
      <c r="W4" s="78"/>
      <c r="X4" s="78"/>
      <c r="Y4" s="78"/>
      <c r="Z4" s="78"/>
      <c r="AA4" s="78"/>
      <c r="AB4" s="78"/>
      <c r="AC4" s="78"/>
      <c r="AD4" s="78"/>
      <c r="AE4" s="78"/>
      <c r="AF4" s="78"/>
      <c r="AG4" s="78"/>
      <c r="AH4" s="78"/>
    </row>
    <row r="5" spans="1:34" s="4" customFormat="1" ht="19.5" customHeight="1">
      <c r="A5" s="572" t="s">
        <v>1</v>
      </c>
      <c r="B5" s="572" t="s">
        <v>151</v>
      </c>
      <c r="C5" s="572" t="s">
        <v>134</v>
      </c>
      <c r="D5" s="573" t="s">
        <v>207</v>
      </c>
      <c r="E5" s="576" t="s">
        <v>122</v>
      </c>
      <c r="F5" s="576"/>
      <c r="G5" s="576"/>
      <c r="H5" s="576"/>
      <c r="I5" s="576"/>
      <c r="J5" s="576"/>
      <c r="K5" s="576"/>
      <c r="L5" s="576"/>
      <c r="M5" s="576"/>
      <c r="N5" s="576"/>
      <c r="O5" s="576"/>
      <c r="P5" s="576"/>
      <c r="Q5" s="576"/>
      <c r="R5" s="576"/>
      <c r="S5" s="576"/>
      <c r="U5" s="569"/>
      <c r="V5" s="570"/>
      <c r="W5" s="35"/>
      <c r="X5" s="35"/>
      <c r="Y5" s="35"/>
      <c r="Z5" s="35"/>
      <c r="AA5" s="35"/>
      <c r="AB5" s="35"/>
      <c r="AC5" s="35"/>
      <c r="AD5" s="35"/>
      <c r="AE5" s="35"/>
      <c r="AF5" s="35"/>
      <c r="AG5" s="35"/>
      <c r="AH5" s="35"/>
    </row>
    <row r="6" spans="1:34" s="4" customFormat="1" ht="40.5" customHeight="1">
      <c r="A6" s="572"/>
      <c r="B6" s="572"/>
      <c r="C6" s="572"/>
      <c r="D6" s="574"/>
      <c r="E6" s="97" t="s">
        <v>217</v>
      </c>
      <c r="F6" s="97" t="s">
        <v>218</v>
      </c>
      <c r="G6" s="97" t="s">
        <v>219</v>
      </c>
      <c r="H6" s="97" t="s">
        <v>220</v>
      </c>
      <c r="I6" s="97" t="s">
        <v>221</v>
      </c>
      <c r="J6" s="97" t="s">
        <v>222</v>
      </c>
      <c r="K6" s="97" t="s">
        <v>223</v>
      </c>
      <c r="L6" s="97" t="s">
        <v>224</v>
      </c>
      <c r="M6" s="97" t="s">
        <v>225</v>
      </c>
      <c r="N6" s="97" t="s">
        <v>226</v>
      </c>
      <c r="O6" s="97" t="s">
        <v>227</v>
      </c>
      <c r="P6" s="97" t="s">
        <v>228</v>
      </c>
      <c r="Q6" s="97" t="s">
        <v>229</v>
      </c>
      <c r="R6" s="97" t="s">
        <v>230</v>
      </c>
      <c r="S6" s="97" t="s">
        <v>231</v>
      </c>
      <c r="U6" s="569"/>
      <c r="V6" s="570"/>
      <c r="W6" s="35"/>
      <c r="X6" s="35"/>
      <c r="Y6" s="35"/>
      <c r="Z6" s="35"/>
      <c r="AA6" s="35"/>
      <c r="AB6" s="35"/>
      <c r="AC6" s="35"/>
      <c r="AD6" s="35"/>
      <c r="AE6" s="35"/>
      <c r="AF6" s="35"/>
      <c r="AG6" s="35"/>
      <c r="AH6" s="35"/>
    </row>
    <row r="7" spans="1:34" s="4" customFormat="1" ht="18.75" customHeight="1">
      <c r="A7" s="100"/>
      <c r="B7" s="101" t="s">
        <v>137</v>
      </c>
      <c r="C7" s="100"/>
      <c r="D7" s="102">
        <f>SUM(E7:S7)</f>
        <v>21510.165000000001</v>
      </c>
      <c r="E7" s="102">
        <f>E8+E23+E66</f>
        <v>2104.5449999999996</v>
      </c>
      <c r="F7" s="102">
        <f t="shared" ref="F7:S7" si="0">F8+F23+F66</f>
        <v>1373.05</v>
      </c>
      <c r="G7" s="102">
        <f t="shared" si="0"/>
        <v>1009.53</v>
      </c>
      <c r="H7" s="102">
        <f t="shared" si="0"/>
        <v>2024.4640000000002</v>
      </c>
      <c r="I7" s="102">
        <f t="shared" si="0"/>
        <v>814.06899999999996</v>
      </c>
      <c r="J7" s="102">
        <f t="shared" si="0"/>
        <v>796.83199999999999</v>
      </c>
      <c r="K7" s="102">
        <f t="shared" si="0"/>
        <v>1278.53</v>
      </c>
      <c r="L7" s="102">
        <f t="shared" si="0"/>
        <v>932.74699999999996</v>
      </c>
      <c r="M7" s="102">
        <f t="shared" si="0"/>
        <v>1910.6609999999998</v>
      </c>
      <c r="N7" s="102">
        <f t="shared" si="0"/>
        <v>1006.5799999999999</v>
      </c>
      <c r="O7" s="102">
        <f t="shared" si="0"/>
        <v>1007.438</v>
      </c>
      <c r="P7" s="102">
        <f t="shared" si="0"/>
        <v>1781.3330000000001</v>
      </c>
      <c r="Q7" s="102">
        <f t="shared" si="0"/>
        <v>1616.211</v>
      </c>
      <c r="R7" s="102">
        <f t="shared" si="0"/>
        <v>2868.0550000000003</v>
      </c>
      <c r="S7" s="102">
        <f t="shared" si="0"/>
        <v>986.12000000000012</v>
      </c>
      <c r="U7" s="43"/>
      <c r="V7" s="40"/>
      <c r="W7" s="35"/>
      <c r="X7" s="35"/>
      <c r="Y7" s="35"/>
      <c r="Z7" s="42"/>
      <c r="AA7" s="35"/>
      <c r="AB7" s="42"/>
      <c r="AC7" s="35"/>
      <c r="AD7" s="35"/>
      <c r="AE7" s="35"/>
      <c r="AF7" s="35"/>
      <c r="AG7" s="35"/>
      <c r="AH7" s="35"/>
    </row>
    <row r="8" spans="1:34" s="4" customFormat="1" ht="18.75" customHeight="1">
      <c r="A8" s="279">
        <v>1</v>
      </c>
      <c r="B8" s="81" t="s">
        <v>3</v>
      </c>
      <c r="C8" s="279" t="s">
        <v>4</v>
      </c>
      <c r="D8" s="102">
        <f>D10+SUM(D13:D17)+SUM(D19:D22)</f>
        <v>13048.259799999998</v>
      </c>
      <c r="E8" s="102">
        <f t="shared" ref="E8:S8" si="1">E10+SUM(E13:E17)+SUM(E19:E22)</f>
        <v>988.40779999999984</v>
      </c>
      <c r="F8" s="102">
        <f t="shared" si="1"/>
        <v>966.91199999999992</v>
      </c>
      <c r="G8" s="102">
        <f t="shared" si="1"/>
        <v>722.37599999999998</v>
      </c>
      <c r="H8" s="102">
        <f t="shared" si="1"/>
        <v>867.01199999999994</v>
      </c>
      <c r="I8" s="102">
        <f t="shared" si="1"/>
        <v>534.68299999999999</v>
      </c>
      <c r="J8" s="102">
        <f t="shared" si="1"/>
        <v>448.96999999999997</v>
      </c>
      <c r="K8" s="102">
        <f t="shared" si="1"/>
        <v>808.88400000000001</v>
      </c>
      <c r="L8" s="102">
        <f t="shared" si="1"/>
        <v>570.44499999999994</v>
      </c>
      <c r="M8" s="102">
        <f t="shared" si="1"/>
        <v>1359.8</v>
      </c>
      <c r="N8" s="102">
        <f t="shared" si="1"/>
        <v>683.50999999999988</v>
      </c>
      <c r="O8" s="102">
        <f t="shared" si="1"/>
        <v>507.93899999999996</v>
      </c>
      <c r="P8" s="102">
        <f t="shared" si="1"/>
        <v>1003.582</v>
      </c>
      <c r="Q8" s="102">
        <f t="shared" si="1"/>
        <v>1180.973</v>
      </c>
      <c r="R8" s="102">
        <f t="shared" si="1"/>
        <v>1635.91</v>
      </c>
      <c r="S8" s="102">
        <f t="shared" si="1"/>
        <v>768.85600000000011</v>
      </c>
      <c r="U8" s="43"/>
      <c r="V8" s="43"/>
      <c r="W8" s="35"/>
      <c r="X8" s="35"/>
      <c r="Y8" s="35"/>
      <c r="Z8" s="42"/>
      <c r="AA8" s="35"/>
      <c r="AB8" s="42"/>
      <c r="AC8" s="35"/>
      <c r="AD8" s="35"/>
      <c r="AE8" s="35"/>
      <c r="AF8" s="35"/>
      <c r="AG8" s="35"/>
      <c r="AH8" s="35"/>
    </row>
    <row r="9" spans="1:34" s="30" customFormat="1" ht="18.75" customHeight="1">
      <c r="A9" s="100"/>
      <c r="B9" s="96" t="s">
        <v>176</v>
      </c>
      <c r="C9" s="100"/>
      <c r="D9" s="104"/>
      <c r="E9" s="104"/>
      <c r="F9" s="104"/>
      <c r="G9" s="104"/>
      <c r="H9" s="104"/>
      <c r="I9" s="104"/>
      <c r="J9" s="104"/>
      <c r="K9" s="104"/>
      <c r="L9" s="104"/>
      <c r="M9" s="104"/>
      <c r="N9" s="104"/>
      <c r="O9" s="104"/>
      <c r="P9" s="104"/>
      <c r="Q9" s="104"/>
      <c r="R9" s="102"/>
      <c r="S9" s="102"/>
      <c r="U9" s="43"/>
      <c r="V9" s="43"/>
      <c r="W9" s="44"/>
      <c r="X9" s="44"/>
      <c r="Y9" s="44"/>
      <c r="Z9" s="41"/>
      <c r="AA9" s="44"/>
      <c r="AB9" s="41"/>
      <c r="AC9" s="44"/>
      <c r="AD9" s="44"/>
      <c r="AE9" s="44"/>
      <c r="AF9" s="44"/>
      <c r="AG9" s="44"/>
      <c r="AH9" s="44"/>
    </row>
    <row r="10" spans="1:34" s="30" customFormat="1" ht="18.75" customHeight="1">
      <c r="A10" s="105" t="s">
        <v>6</v>
      </c>
      <c r="B10" s="82" t="s">
        <v>81</v>
      </c>
      <c r="C10" s="105" t="s">
        <v>5</v>
      </c>
      <c r="D10" s="104">
        <f>SUM(D11:D12)</f>
        <v>5482.4019999999982</v>
      </c>
      <c r="E10" s="104">
        <f t="shared" ref="E10:S10" si="2">SUM(E11:E12)</f>
        <v>749.81299999999987</v>
      </c>
      <c r="F10" s="104">
        <f t="shared" si="2"/>
        <v>556.37699999999995</v>
      </c>
      <c r="G10" s="104">
        <f t="shared" si="2"/>
        <v>557.27</v>
      </c>
      <c r="H10" s="104">
        <f t="shared" si="2"/>
        <v>7.3199999999999994</v>
      </c>
      <c r="I10" s="104">
        <f t="shared" si="2"/>
        <v>401.80599999999998</v>
      </c>
      <c r="J10" s="104">
        <f t="shared" si="2"/>
        <v>321.20599999999996</v>
      </c>
      <c r="K10" s="104">
        <f t="shared" si="2"/>
        <v>645.24</v>
      </c>
      <c r="L10" s="104">
        <f t="shared" si="2"/>
        <v>144.91999999999999</v>
      </c>
      <c r="M10" s="104">
        <f t="shared" si="2"/>
        <v>130.47</v>
      </c>
      <c r="N10" s="104">
        <f t="shared" si="2"/>
        <v>424.97999999999996</v>
      </c>
      <c r="O10" s="104">
        <f t="shared" si="2"/>
        <v>278.83</v>
      </c>
      <c r="P10" s="104">
        <f t="shared" si="2"/>
        <v>54.85</v>
      </c>
      <c r="Q10" s="104">
        <f t="shared" si="2"/>
        <v>90.37</v>
      </c>
      <c r="R10" s="104">
        <f t="shared" si="2"/>
        <v>459.51</v>
      </c>
      <c r="S10" s="104">
        <f t="shared" si="2"/>
        <v>659.44</v>
      </c>
      <c r="U10" s="43"/>
      <c r="V10" s="43"/>
      <c r="W10" s="44"/>
      <c r="X10" s="44"/>
      <c r="Y10" s="44"/>
      <c r="Z10" s="41"/>
      <c r="AA10" s="44"/>
      <c r="AB10" s="41"/>
      <c r="AC10" s="44"/>
      <c r="AD10" s="44"/>
      <c r="AE10" s="44"/>
      <c r="AF10" s="44"/>
      <c r="AG10" s="44"/>
      <c r="AH10" s="44"/>
    </row>
    <row r="11" spans="1:34" s="30" customFormat="1" ht="18.75" customHeight="1">
      <c r="A11" s="105"/>
      <c r="B11" s="82" t="s">
        <v>1778</v>
      </c>
      <c r="C11" s="105" t="s">
        <v>7</v>
      </c>
      <c r="D11" s="104">
        <f>SUM(E11:S11)</f>
        <v>4865.6354999999985</v>
      </c>
      <c r="E11" s="104">
        <v>740.81649999999991</v>
      </c>
      <c r="F11" s="104">
        <v>556.37699999999995</v>
      </c>
      <c r="G11" s="104">
        <v>557.27</v>
      </c>
      <c r="H11" s="104">
        <v>0.18</v>
      </c>
      <c r="I11" s="104">
        <v>401.80599999999998</v>
      </c>
      <c r="J11" s="104">
        <v>321.20599999999996</v>
      </c>
      <c r="K11" s="104">
        <v>645.24</v>
      </c>
      <c r="L11" s="104">
        <v>144.91999999999999</v>
      </c>
      <c r="M11" s="104">
        <v>130.47</v>
      </c>
      <c r="N11" s="104">
        <v>424.97999999999996</v>
      </c>
      <c r="O11" s="104">
        <v>278.83</v>
      </c>
      <c r="P11" s="104">
        <v>0.7</v>
      </c>
      <c r="Q11" s="104">
        <v>3.4</v>
      </c>
      <c r="R11" s="104">
        <v>0</v>
      </c>
      <c r="S11" s="104">
        <v>659.44</v>
      </c>
      <c r="T11" s="282"/>
      <c r="U11" s="43"/>
      <c r="V11" s="43"/>
      <c r="W11" s="44"/>
      <c r="X11" s="44"/>
      <c r="Y11" s="44"/>
      <c r="Z11" s="41"/>
      <c r="AA11" s="44"/>
      <c r="AB11" s="41"/>
      <c r="AC11" s="44"/>
      <c r="AD11" s="44"/>
      <c r="AE11" s="44"/>
      <c r="AF11" s="44"/>
      <c r="AG11" s="44"/>
      <c r="AH11" s="44"/>
    </row>
    <row r="12" spans="1:34" s="30" customFormat="1" ht="18.75" customHeight="1">
      <c r="A12" s="105"/>
      <c r="B12" s="82" t="s">
        <v>1779</v>
      </c>
      <c r="C12" s="105" t="s">
        <v>8</v>
      </c>
      <c r="D12" s="104">
        <f t="shared" ref="D12:D22" si="3">SUM(E12:S12)</f>
        <v>616.76649999999995</v>
      </c>
      <c r="E12" s="104">
        <v>8.9964999999999993</v>
      </c>
      <c r="F12" s="104">
        <v>0</v>
      </c>
      <c r="G12" s="104">
        <v>0</v>
      </c>
      <c r="H12" s="104">
        <v>7.14</v>
      </c>
      <c r="I12" s="104">
        <v>0</v>
      </c>
      <c r="J12" s="104">
        <v>0</v>
      </c>
      <c r="K12" s="104">
        <v>0</v>
      </c>
      <c r="L12" s="104">
        <v>0</v>
      </c>
      <c r="M12" s="104">
        <v>0</v>
      </c>
      <c r="N12" s="104">
        <v>0</v>
      </c>
      <c r="O12" s="104">
        <v>0</v>
      </c>
      <c r="P12" s="104">
        <v>54.15</v>
      </c>
      <c r="Q12" s="104">
        <v>86.97</v>
      </c>
      <c r="R12" s="104">
        <v>459.51</v>
      </c>
      <c r="S12" s="104">
        <v>0</v>
      </c>
      <c r="T12" s="282"/>
      <c r="U12" s="43"/>
      <c r="V12" s="43"/>
      <c r="W12" s="44"/>
      <c r="X12" s="44"/>
      <c r="Y12" s="44"/>
      <c r="Z12" s="41"/>
      <c r="AA12" s="44"/>
      <c r="AB12" s="41"/>
      <c r="AC12" s="44"/>
      <c r="AD12" s="44"/>
      <c r="AE12" s="44"/>
      <c r="AF12" s="44"/>
      <c r="AG12" s="44"/>
      <c r="AH12" s="44"/>
    </row>
    <row r="13" spans="1:34" s="30" customFormat="1" ht="18.75" customHeight="1">
      <c r="A13" s="105" t="s">
        <v>9</v>
      </c>
      <c r="B13" s="82" t="s">
        <v>1780</v>
      </c>
      <c r="C13" s="105" t="s">
        <v>11</v>
      </c>
      <c r="D13" s="104">
        <f t="shared" si="3"/>
        <v>1746.8257999999998</v>
      </c>
      <c r="E13" s="104">
        <v>159.17679999999999</v>
      </c>
      <c r="F13" s="104">
        <v>19.673000000000002</v>
      </c>
      <c r="G13" s="104">
        <v>55.86</v>
      </c>
      <c r="H13" s="104">
        <v>18.060000000000002</v>
      </c>
      <c r="I13" s="104">
        <v>14.950000000000001</v>
      </c>
      <c r="J13" s="104">
        <v>98.024000000000001</v>
      </c>
      <c r="K13" s="104">
        <v>134.21600000000001</v>
      </c>
      <c r="L13" s="104">
        <v>415.43</v>
      </c>
      <c r="M13" s="104">
        <v>111.78</v>
      </c>
      <c r="N13" s="104">
        <v>247.52999999999997</v>
      </c>
      <c r="O13" s="104">
        <v>140.31</v>
      </c>
      <c r="P13" s="104">
        <v>50.866</v>
      </c>
      <c r="Q13" s="104">
        <v>34.51</v>
      </c>
      <c r="R13" s="104">
        <v>167.05</v>
      </c>
      <c r="S13" s="104">
        <v>79.39</v>
      </c>
      <c r="U13" s="43"/>
      <c r="V13" s="43"/>
      <c r="W13" s="44"/>
      <c r="X13" s="44"/>
      <c r="Y13" s="44"/>
      <c r="Z13" s="41"/>
      <c r="AA13" s="44"/>
      <c r="AB13" s="41"/>
      <c r="AC13" s="44"/>
      <c r="AD13" s="44"/>
      <c r="AE13" s="44"/>
      <c r="AF13" s="44"/>
      <c r="AG13" s="44"/>
      <c r="AH13" s="44"/>
    </row>
    <row r="14" spans="1:34" s="45" customFormat="1" ht="18.75" customHeight="1">
      <c r="A14" s="105" t="s">
        <v>10</v>
      </c>
      <c r="B14" s="82" t="s">
        <v>59</v>
      </c>
      <c r="C14" s="105" t="s">
        <v>13</v>
      </c>
      <c r="D14" s="104">
        <f t="shared" si="3"/>
        <v>1171.1469999999999</v>
      </c>
      <c r="E14" s="104">
        <v>40.393999999999998</v>
      </c>
      <c r="F14" s="104">
        <v>97.385999999999996</v>
      </c>
      <c r="G14" s="104">
        <v>55.72</v>
      </c>
      <c r="H14" s="104">
        <v>208.29000000000002</v>
      </c>
      <c r="I14" s="104">
        <v>60.217000000000006</v>
      </c>
      <c r="J14" s="104">
        <v>22.669999999999998</v>
      </c>
      <c r="K14" s="104">
        <v>15.793999999999999</v>
      </c>
      <c r="L14" s="104">
        <v>6.569</v>
      </c>
      <c r="M14" s="104">
        <v>121.35599999999999</v>
      </c>
      <c r="N14" s="104">
        <v>8.8060000000000009</v>
      </c>
      <c r="O14" s="104">
        <v>82.995999999999995</v>
      </c>
      <c r="P14" s="104">
        <v>124.086</v>
      </c>
      <c r="Q14" s="104">
        <v>136.88699999999997</v>
      </c>
      <c r="R14" s="104">
        <v>168.92000000000002</v>
      </c>
      <c r="S14" s="104">
        <v>21.055999999999997</v>
      </c>
      <c r="U14" s="43"/>
      <c r="V14" s="43"/>
      <c r="W14" s="46"/>
      <c r="X14" s="46"/>
      <c r="Y14" s="46"/>
      <c r="Z14" s="41"/>
      <c r="AA14" s="46"/>
      <c r="AB14" s="41"/>
      <c r="AC14" s="46"/>
      <c r="AD14" s="46"/>
      <c r="AE14" s="46"/>
      <c r="AF14" s="46"/>
      <c r="AG14" s="46"/>
      <c r="AH14" s="46"/>
    </row>
    <row r="15" spans="1:34" s="45" customFormat="1" ht="18.75" customHeight="1">
      <c r="A15" s="105" t="s">
        <v>12</v>
      </c>
      <c r="B15" s="82" t="s">
        <v>60</v>
      </c>
      <c r="C15" s="105" t="s">
        <v>15</v>
      </c>
      <c r="D15" s="104">
        <f t="shared" si="3"/>
        <v>0</v>
      </c>
      <c r="E15" s="104"/>
      <c r="F15" s="104"/>
      <c r="G15" s="104"/>
      <c r="H15" s="104"/>
      <c r="I15" s="104"/>
      <c r="J15" s="104"/>
      <c r="K15" s="104"/>
      <c r="L15" s="104"/>
      <c r="M15" s="104"/>
      <c r="N15" s="104"/>
      <c r="O15" s="104"/>
      <c r="P15" s="104"/>
      <c r="Q15" s="104"/>
      <c r="R15" s="104"/>
      <c r="S15" s="104"/>
      <c r="U15" s="43"/>
      <c r="V15" s="43"/>
      <c r="W15" s="46"/>
      <c r="X15" s="46"/>
      <c r="Y15" s="46"/>
      <c r="Z15" s="41"/>
      <c r="AA15" s="46"/>
      <c r="AB15" s="41"/>
      <c r="AC15" s="46"/>
      <c r="AD15" s="46"/>
      <c r="AE15" s="46"/>
      <c r="AF15" s="46"/>
      <c r="AG15" s="46"/>
      <c r="AH15" s="46"/>
    </row>
    <row r="16" spans="1:34" s="30" customFormat="1" ht="18.75" customHeight="1">
      <c r="A16" s="105" t="s">
        <v>14</v>
      </c>
      <c r="B16" s="82" t="s">
        <v>61</v>
      </c>
      <c r="C16" s="105" t="s">
        <v>16</v>
      </c>
      <c r="D16" s="104">
        <f t="shared" si="3"/>
        <v>0</v>
      </c>
      <c r="E16" s="104"/>
      <c r="F16" s="104"/>
      <c r="G16" s="104"/>
      <c r="H16" s="104"/>
      <c r="I16" s="104"/>
      <c r="J16" s="104"/>
      <c r="K16" s="104"/>
      <c r="L16" s="104"/>
      <c r="M16" s="104"/>
      <c r="N16" s="104"/>
      <c r="O16" s="104"/>
      <c r="P16" s="104"/>
      <c r="Q16" s="104"/>
      <c r="R16" s="104"/>
      <c r="S16" s="104"/>
      <c r="U16" s="43"/>
      <c r="V16" s="43"/>
      <c r="W16" s="44"/>
      <c r="X16" s="44"/>
      <c r="Y16" s="44"/>
      <c r="Z16" s="41"/>
      <c r="AA16" s="44"/>
      <c r="AB16" s="41"/>
      <c r="AC16" s="44"/>
      <c r="AD16" s="44"/>
      <c r="AE16" s="44"/>
      <c r="AF16" s="44"/>
      <c r="AG16" s="44"/>
      <c r="AH16" s="44"/>
    </row>
    <row r="17" spans="1:34" s="30" customFormat="1" ht="18.75" customHeight="1">
      <c r="A17" s="105" t="s">
        <v>63</v>
      </c>
      <c r="B17" s="82" t="s">
        <v>62</v>
      </c>
      <c r="C17" s="105" t="s">
        <v>17</v>
      </c>
      <c r="D17" s="104">
        <f>D18</f>
        <v>0</v>
      </c>
      <c r="E17" s="104">
        <f t="shared" ref="E17:S17" si="4">E18</f>
        <v>0</v>
      </c>
      <c r="F17" s="104">
        <f t="shared" si="4"/>
        <v>0</v>
      </c>
      <c r="G17" s="104">
        <f t="shared" si="4"/>
        <v>0</v>
      </c>
      <c r="H17" s="104">
        <f t="shared" si="4"/>
        <v>0</v>
      </c>
      <c r="I17" s="104">
        <f t="shared" si="4"/>
        <v>0</v>
      </c>
      <c r="J17" s="104">
        <f t="shared" si="4"/>
        <v>0</v>
      </c>
      <c r="K17" s="104">
        <f t="shared" si="4"/>
        <v>0</v>
      </c>
      <c r="L17" s="104">
        <f t="shared" si="4"/>
        <v>0</v>
      </c>
      <c r="M17" s="104">
        <f t="shared" si="4"/>
        <v>0</v>
      </c>
      <c r="N17" s="104">
        <f t="shared" si="4"/>
        <v>0</v>
      </c>
      <c r="O17" s="104">
        <f t="shared" si="4"/>
        <v>0</v>
      </c>
      <c r="P17" s="104">
        <f t="shared" si="4"/>
        <v>0</v>
      </c>
      <c r="Q17" s="104">
        <f t="shared" si="4"/>
        <v>0</v>
      </c>
      <c r="R17" s="104">
        <f t="shared" si="4"/>
        <v>0</v>
      </c>
      <c r="S17" s="104">
        <f t="shared" si="4"/>
        <v>0</v>
      </c>
      <c r="U17" s="43"/>
      <c r="V17" s="43"/>
      <c r="W17" s="44"/>
      <c r="X17" s="44"/>
      <c r="Y17" s="44"/>
      <c r="Z17" s="41"/>
      <c r="AA17" s="44"/>
      <c r="AB17" s="41"/>
      <c r="AC17" s="44"/>
      <c r="AD17" s="44"/>
      <c r="AE17" s="44"/>
      <c r="AF17" s="44"/>
      <c r="AG17" s="44"/>
      <c r="AH17" s="44"/>
    </row>
    <row r="18" spans="1:34" s="45" customFormat="1" ht="18.75" customHeight="1">
      <c r="A18" s="106"/>
      <c r="B18" s="96" t="s">
        <v>177</v>
      </c>
      <c r="C18" s="106" t="s">
        <v>163</v>
      </c>
      <c r="D18" s="104">
        <f t="shared" si="3"/>
        <v>0</v>
      </c>
      <c r="E18" s="107"/>
      <c r="F18" s="107"/>
      <c r="G18" s="107"/>
      <c r="H18" s="107"/>
      <c r="I18" s="107"/>
      <c r="J18" s="107"/>
      <c r="K18" s="107"/>
      <c r="L18" s="107"/>
      <c r="M18" s="107"/>
      <c r="N18" s="107"/>
      <c r="O18" s="107"/>
      <c r="P18" s="107"/>
      <c r="Q18" s="107"/>
      <c r="R18" s="107"/>
      <c r="S18" s="107"/>
      <c r="U18" s="43"/>
      <c r="V18" s="43"/>
      <c r="W18" s="46"/>
      <c r="X18" s="46"/>
      <c r="Y18" s="46"/>
      <c r="Z18" s="48"/>
      <c r="AA18" s="46"/>
      <c r="AB18" s="48"/>
      <c r="AC18" s="46"/>
      <c r="AD18" s="46"/>
      <c r="AE18" s="46"/>
      <c r="AF18" s="46"/>
      <c r="AG18" s="46"/>
      <c r="AH18" s="46"/>
    </row>
    <row r="19" spans="1:34" s="30" customFormat="1" ht="18.75" customHeight="1">
      <c r="A19" s="105" t="s">
        <v>72</v>
      </c>
      <c r="B19" s="82" t="s">
        <v>71</v>
      </c>
      <c r="C19" s="105" t="s">
        <v>18</v>
      </c>
      <c r="D19" s="104">
        <f t="shared" si="3"/>
        <v>4619.2620000000006</v>
      </c>
      <c r="E19" s="104">
        <v>37.01</v>
      </c>
      <c r="F19" s="104">
        <v>291.83600000000001</v>
      </c>
      <c r="G19" s="104">
        <v>45.982000000000006</v>
      </c>
      <c r="H19" s="104">
        <v>633.34199999999998</v>
      </c>
      <c r="I19" s="104">
        <v>57.71</v>
      </c>
      <c r="J19" s="104">
        <v>1.0999999999999999</v>
      </c>
      <c r="K19" s="104">
        <v>10.924000000000001</v>
      </c>
      <c r="L19" s="104">
        <v>1.2160000000000002</v>
      </c>
      <c r="M19" s="104">
        <v>996.01</v>
      </c>
      <c r="N19" s="104">
        <v>1.29</v>
      </c>
      <c r="O19" s="104">
        <v>3.3200000000000003</v>
      </c>
      <c r="P19" s="104">
        <v>773.67</v>
      </c>
      <c r="Q19" s="104">
        <v>919.20600000000002</v>
      </c>
      <c r="R19" s="104">
        <v>840.43000000000006</v>
      </c>
      <c r="S19" s="104">
        <v>6.2160000000000002</v>
      </c>
      <c r="U19" s="43"/>
      <c r="V19" s="43"/>
      <c r="W19" s="44"/>
      <c r="X19" s="44"/>
      <c r="Y19" s="44"/>
      <c r="Z19" s="41"/>
      <c r="AA19" s="44"/>
      <c r="AB19" s="41"/>
      <c r="AC19" s="44"/>
      <c r="AD19" s="44"/>
      <c r="AE19" s="44"/>
      <c r="AF19" s="44"/>
      <c r="AG19" s="44"/>
      <c r="AH19" s="44"/>
    </row>
    <row r="20" spans="1:34" s="30" customFormat="1" ht="18.75" customHeight="1">
      <c r="A20" s="105" t="s">
        <v>82</v>
      </c>
      <c r="B20" s="82" t="s">
        <v>1782</v>
      </c>
      <c r="C20" s="105" t="s">
        <v>1783</v>
      </c>
      <c r="D20" s="104">
        <f t="shared" si="3"/>
        <v>0</v>
      </c>
      <c r="E20" s="104"/>
      <c r="F20" s="104"/>
      <c r="G20" s="104"/>
      <c r="H20" s="104"/>
      <c r="I20" s="104"/>
      <c r="J20" s="104"/>
      <c r="K20" s="104"/>
      <c r="L20" s="104"/>
      <c r="M20" s="104"/>
      <c r="N20" s="104"/>
      <c r="O20" s="104"/>
      <c r="P20" s="104"/>
      <c r="Q20" s="104"/>
      <c r="R20" s="104"/>
      <c r="S20" s="104"/>
      <c r="U20" s="43"/>
      <c r="V20" s="43"/>
      <c r="W20" s="44"/>
      <c r="X20" s="44"/>
      <c r="Y20" s="44"/>
      <c r="Z20" s="41"/>
      <c r="AA20" s="44"/>
      <c r="AB20" s="41"/>
      <c r="AC20" s="44"/>
      <c r="AD20" s="44"/>
      <c r="AE20" s="44"/>
      <c r="AF20" s="44"/>
      <c r="AG20" s="44"/>
      <c r="AH20" s="44"/>
    </row>
    <row r="21" spans="1:34" s="30" customFormat="1" ht="18.75" customHeight="1">
      <c r="A21" s="105" t="s">
        <v>85</v>
      </c>
      <c r="B21" s="82" t="s">
        <v>73</v>
      </c>
      <c r="C21" s="105" t="s">
        <v>19</v>
      </c>
      <c r="D21" s="104">
        <f t="shared" si="3"/>
        <v>0</v>
      </c>
      <c r="E21" s="104"/>
      <c r="F21" s="104"/>
      <c r="G21" s="104"/>
      <c r="H21" s="104"/>
      <c r="I21" s="104"/>
      <c r="J21" s="104"/>
      <c r="K21" s="104"/>
      <c r="L21" s="104"/>
      <c r="M21" s="104"/>
      <c r="N21" s="104"/>
      <c r="O21" s="104"/>
      <c r="P21" s="104"/>
      <c r="Q21" s="104"/>
      <c r="R21" s="104"/>
      <c r="S21" s="104"/>
      <c r="U21" s="43"/>
      <c r="V21" s="43"/>
      <c r="W21" s="44"/>
      <c r="X21" s="44"/>
      <c r="Y21" s="44"/>
      <c r="Z21" s="41"/>
      <c r="AA21" s="44"/>
      <c r="AB21" s="41"/>
      <c r="AC21" s="44"/>
      <c r="AD21" s="44"/>
      <c r="AE21" s="44"/>
      <c r="AF21" s="44"/>
      <c r="AG21" s="44"/>
      <c r="AH21" s="44"/>
    </row>
    <row r="22" spans="1:34" s="30" customFormat="1" ht="18.75" customHeight="1">
      <c r="A22" s="105" t="s">
        <v>1781</v>
      </c>
      <c r="B22" s="82" t="s">
        <v>84</v>
      </c>
      <c r="C22" s="105" t="s">
        <v>20</v>
      </c>
      <c r="D22" s="104">
        <f t="shared" si="3"/>
        <v>28.623000000000001</v>
      </c>
      <c r="E22" s="104">
        <v>2.0139999999999998</v>
      </c>
      <c r="F22" s="104">
        <v>1.64</v>
      </c>
      <c r="G22" s="104">
        <v>7.5439999999999996</v>
      </c>
      <c r="H22" s="104">
        <v>0</v>
      </c>
      <c r="I22" s="104">
        <v>0</v>
      </c>
      <c r="J22" s="104">
        <v>5.97</v>
      </c>
      <c r="K22" s="104">
        <v>2.71</v>
      </c>
      <c r="L22" s="104">
        <v>2.31</v>
      </c>
      <c r="M22" s="104">
        <v>0.184</v>
      </c>
      <c r="N22" s="104">
        <v>0.90400000000000003</v>
      </c>
      <c r="O22" s="104">
        <v>2.4830000000000001</v>
      </c>
      <c r="P22" s="104">
        <v>0.11</v>
      </c>
      <c r="Q22" s="104">
        <v>0</v>
      </c>
      <c r="R22" s="104">
        <v>0</v>
      </c>
      <c r="S22" s="104">
        <v>2.754</v>
      </c>
      <c r="U22" s="43"/>
      <c r="V22" s="43"/>
      <c r="W22" s="44"/>
      <c r="X22" s="44"/>
      <c r="Y22" s="44"/>
      <c r="Z22" s="41"/>
      <c r="AA22" s="44"/>
      <c r="AB22" s="41"/>
      <c r="AC22" s="44"/>
      <c r="AD22" s="44"/>
      <c r="AE22" s="44"/>
      <c r="AF22" s="44"/>
      <c r="AG22" s="44"/>
      <c r="AH22" s="44"/>
    </row>
    <row r="23" spans="1:34" s="4" customFormat="1" ht="18.75" customHeight="1">
      <c r="A23" s="279">
        <v>2</v>
      </c>
      <c r="B23" s="81" t="s">
        <v>21</v>
      </c>
      <c r="C23" s="279" t="s">
        <v>22</v>
      </c>
      <c r="D23" s="102">
        <f>SUM(D25:D30)+D42+D49+SUM(D61:D65)</f>
        <v>8461.9052000000011</v>
      </c>
      <c r="E23" s="102">
        <f t="shared" ref="E23:S23" si="5">SUM(E25:E30)+E42+E49+SUM(E61:E65)</f>
        <v>1116.1371999999999</v>
      </c>
      <c r="F23" s="102">
        <f t="shared" si="5"/>
        <v>406.13800000000003</v>
      </c>
      <c r="G23" s="102">
        <f t="shared" si="5"/>
        <v>287.15400000000005</v>
      </c>
      <c r="H23" s="102">
        <f t="shared" si="5"/>
        <v>1157.4520000000002</v>
      </c>
      <c r="I23" s="102">
        <f t="shared" si="5"/>
        <v>279.38599999999997</v>
      </c>
      <c r="J23" s="102">
        <f t="shared" si="5"/>
        <v>347.86200000000002</v>
      </c>
      <c r="K23" s="102">
        <f t="shared" si="5"/>
        <v>469.64600000000002</v>
      </c>
      <c r="L23" s="102">
        <f t="shared" si="5"/>
        <v>362.30200000000002</v>
      </c>
      <c r="M23" s="102">
        <f t="shared" si="5"/>
        <v>550.86099999999988</v>
      </c>
      <c r="N23" s="102">
        <f t="shared" si="5"/>
        <v>323.07</v>
      </c>
      <c r="O23" s="102">
        <f t="shared" si="5"/>
        <v>499.49900000000002</v>
      </c>
      <c r="P23" s="102">
        <f t="shared" si="5"/>
        <v>777.75099999999998</v>
      </c>
      <c r="Q23" s="102">
        <f t="shared" si="5"/>
        <v>435.238</v>
      </c>
      <c r="R23" s="102">
        <f t="shared" si="5"/>
        <v>1232.145</v>
      </c>
      <c r="S23" s="102">
        <f t="shared" si="5"/>
        <v>217.26400000000001</v>
      </c>
      <c r="U23" s="43"/>
      <c r="V23" s="43"/>
      <c r="W23" s="35"/>
      <c r="X23" s="35"/>
      <c r="Y23" s="35"/>
      <c r="Z23" s="42"/>
      <c r="AA23" s="35"/>
      <c r="AB23" s="42"/>
      <c r="AC23" s="35"/>
      <c r="AD23" s="35"/>
      <c r="AE23" s="35"/>
      <c r="AF23" s="35"/>
      <c r="AG23" s="35"/>
      <c r="AH23" s="35"/>
    </row>
    <row r="24" spans="1:34" s="45" customFormat="1" ht="18.75" customHeight="1">
      <c r="A24" s="100"/>
      <c r="B24" s="96" t="s">
        <v>176</v>
      </c>
      <c r="C24" s="100"/>
      <c r="D24" s="104"/>
      <c r="E24" s="104"/>
      <c r="F24" s="104"/>
      <c r="G24" s="104"/>
      <c r="H24" s="104"/>
      <c r="I24" s="104"/>
      <c r="J24" s="104"/>
      <c r="K24" s="104"/>
      <c r="L24" s="104"/>
      <c r="M24" s="104"/>
      <c r="N24" s="104"/>
      <c r="O24" s="104"/>
      <c r="P24" s="104"/>
      <c r="Q24" s="104"/>
      <c r="R24" s="102"/>
      <c r="S24" s="102"/>
      <c r="U24" s="43"/>
      <c r="V24" s="43"/>
      <c r="W24" s="46"/>
      <c r="X24" s="46"/>
      <c r="Y24" s="46"/>
      <c r="Z24" s="41"/>
      <c r="AA24" s="46"/>
      <c r="AB24" s="41"/>
      <c r="AC24" s="46"/>
      <c r="AD24" s="46"/>
      <c r="AE24" s="46"/>
      <c r="AF24" s="46"/>
      <c r="AG24" s="46"/>
      <c r="AH24" s="46"/>
    </row>
    <row r="25" spans="1:34" s="30" customFormat="1" ht="18.75" customHeight="1">
      <c r="A25" s="105" t="s">
        <v>23</v>
      </c>
      <c r="B25" s="82" t="s">
        <v>95</v>
      </c>
      <c r="C25" s="105" t="s">
        <v>56</v>
      </c>
      <c r="D25" s="104">
        <f t="shared" ref="D25:D29" si="6">SUM(E25:S25)</f>
        <v>3207.9639999999999</v>
      </c>
      <c r="E25" s="104">
        <v>0</v>
      </c>
      <c r="F25" s="104">
        <v>195.91399999999999</v>
      </c>
      <c r="G25" s="104">
        <v>133.16600000000003</v>
      </c>
      <c r="H25" s="104">
        <v>427.13399999999996</v>
      </c>
      <c r="I25" s="104">
        <v>112.21</v>
      </c>
      <c r="J25" s="104">
        <v>217.54999999999998</v>
      </c>
      <c r="K25" s="104">
        <v>344.93200000000002</v>
      </c>
      <c r="L25" s="104">
        <v>302.74799999999999</v>
      </c>
      <c r="M25" s="104">
        <v>226.22</v>
      </c>
      <c r="N25" s="104">
        <v>231.12</v>
      </c>
      <c r="O25" s="104">
        <v>302.2</v>
      </c>
      <c r="P25" s="104">
        <v>164.31</v>
      </c>
      <c r="Q25" s="104">
        <v>155.292</v>
      </c>
      <c r="R25" s="104">
        <v>247.63</v>
      </c>
      <c r="S25" s="104">
        <v>147.53799999999998</v>
      </c>
      <c r="U25" s="43"/>
      <c r="V25" s="43"/>
      <c r="W25" s="44"/>
      <c r="X25" s="44"/>
      <c r="Y25" s="44"/>
      <c r="Z25" s="41"/>
      <c r="AA25" s="44"/>
      <c r="AB25" s="41"/>
      <c r="AC25" s="44"/>
      <c r="AD25" s="44"/>
      <c r="AE25" s="44"/>
      <c r="AF25" s="44"/>
      <c r="AG25" s="44"/>
      <c r="AH25" s="44"/>
    </row>
    <row r="26" spans="1:34" s="30" customFormat="1" ht="18.75" customHeight="1">
      <c r="A26" s="105" t="s">
        <v>25</v>
      </c>
      <c r="B26" s="82" t="s">
        <v>96</v>
      </c>
      <c r="C26" s="105" t="s">
        <v>55</v>
      </c>
      <c r="D26" s="104">
        <f t="shared" si="6"/>
        <v>470.9131999999999</v>
      </c>
      <c r="E26" s="104">
        <v>470.9131999999999</v>
      </c>
      <c r="F26" s="104">
        <v>0</v>
      </c>
      <c r="G26" s="104">
        <v>0</v>
      </c>
      <c r="H26" s="104">
        <v>0</v>
      </c>
      <c r="I26" s="104">
        <v>0</v>
      </c>
      <c r="J26" s="104">
        <v>0</v>
      </c>
      <c r="K26" s="104">
        <v>0</v>
      </c>
      <c r="L26" s="104">
        <v>0</v>
      </c>
      <c r="M26" s="104">
        <v>0</v>
      </c>
      <c r="N26" s="104">
        <v>0</v>
      </c>
      <c r="O26" s="104">
        <v>0</v>
      </c>
      <c r="P26" s="104">
        <v>0</v>
      </c>
      <c r="Q26" s="104">
        <v>0</v>
      </c>
      <c r="R26" s="104">
        <v>0</v>
      </c>
      <c r="S26" s="104">
        <v>0</v>
      </c>
      <c r="U26" s="43"/>
      <c r="V26" s="43"/>
      <c r="W26" s="44"/>
      <c r="X26" s="44"/>
      <c r="Y26" s="44"/>
      <c r="Z26" s="41"/>
      <c r="AA26" s="44"/>
      <c r="AB26" s="41"/>
      <c r="AC26" s="44"/>
      <c r="AD26" s="44"/>
      <c r="AE26" s="44"/>
      <c r="AF26" s="44"/>
      <c r="AG26" s="44"/>
      <c r="AH26" s="44"/>
    </row>
    <row r="27" spans="1:34" s="30" customFormat="1" ht="18.75" customHeight="1">
      <c r="A27" s="105" t="s">
        <v>27</v>
      </c>
      <c r="B27" s="82" t="s">
        <v>90</v>
      </c>
      <c r="C27" s="105" t="s">
        <v>24</v>
      </c>
      <c r="D27" s="104">
        <f t="shared" si="6"/>
        <v>14.737</v>
      </c>
      <c r="E27" s="104">
        <v>8.57</v>
      </c>
      <c r="F27" s="104">
        <v>0.88</v>
      </c>
      <c r="G27" s="104">
        <v>0.23</v>
      </c>
      <c r="H27" s="104">
        <v>0.20400000000000001</v>
      </c>
      <c r="I27" s="104">
        <v>0.52</v>
      </c>
      <c r="J27" s="104">
        <v>0.58399999999999996</v>
      </c>
      <c r="K27" s="104">
        <v>0.19400000000000001</v>
      </c>
      <c r="L27" s="104">
        <v>0.92</v>
      </c>
      <c r="M27" s="104">
        <v>0.23</v>
      </c>
      <c r="N27" s="104">
        <v>0.12</v>
      </c>
      <c r="O27" s="104">
        <v>0.41</v>
      </c>
      <c r="P27" s="104">
        <v>0.317</v>
      </c>
      <c r="Q27" s="104">
        <v>0.54</v>
      </c>
      <c r="R27" s="104">
        <f>0.664+0.02</f>
        <v>0.68400000000000005</v>
      </c>
      <c r="S27" s="104">
        <v>0.33400000000000002</v>
      </c>
      <c r="U27" s="43"/>
      <c r="V27" s="43"/>
      <c r="W27" s="44"/>
      <c r="X27" s="44"/>
      <c r="Y27" s="44"/>
      <c r="Z27" s="41"/>
      <c r="AA27" s="44"/>
      <c r="AB27" s="41"/>
      <c r="AC27" s="44"/>
      <c r="AD27" s="44"/>
      <c r="AE27" s="44"/>
      <c r="AF27" s="44"/>
      <c r="AG27" s="44"/>
      <c r="AH27" s="44"/>
    </row>
    <row r="28" spans="1:34" s="45" customFormat="1" ht="18.75" customHeight="1">
      <c r="A28" s="105" t="s">
        <v>29</v>
      </c>
      <c r="B28" s="82" t="s">
        <v>64</v>
      </c>
      <c r="C28" s="105" t="s">
        <v>26</v>
      </c>
      <c r="D28" s="104">
        <f t="shared" si="6"/>
        <v>1.05</v>
      </c>
      <c r="E28" s="104">
        <v>1.05</v>
      </c>
      <c r="F28" s="104">
        <v>0</v>
      </c>
      <c r="G28" s="104">
        <v>0</v>
      </c>
      <c r="H28" s="104">
        <v>0</v>
      </c>
      <c r="I28" s="104">
        <v>0</v>
      </c>
      <c r="J28" s="104">
        <v>0</v>
      </c>
      <c r="K28" s="104">
        <v>0</v>
      </c>
      <c r="L28" s="104">
        <v>0</v>
      </c>
      <c r="M28" s="104">
        <v>0</v>
      </c>
      <c r="N28" s="104">
        <v>0</v>
      </c>
      <c r="O28" s="104">
        <v>0</v>
      </c>
      <c r="P28" s="104">
        <v>0</v>
      </c>
      <c r="Q28" s="104">
        <v>0</v>
      </c>
      <c r="R28" s="104">
        <v>0</v>
      </c>
      <c r="S28" s="104">
        <v>0</v>
      </c>
      <c r="U28" s="43"/>
      <c r="V28" s="43"/>
      <c r="W28" s="46"/>
      <c r="X28" s="46"/>
      <c r="Y28" s="46"/>
      <c r="Z28" s="41"/>
      <c r="AA28" s="46"/>
      <c r="AB28" s="41"/>
      <c r="AC28" s="46"/>
      <c r="AD28" s="46"/>
      <c r="AE28" s="46"/>
      <c r="AF28" s="46"/>
      <c r="AG28" s="46"/>
      <c r="AH28" s="46"/>
    </row>
    <row r="29" spans="1:34" s="30" customFormat="1" ht="18.75" customHeight="1">
      <c r="A29" s="105" t="s">
        <v>31</v>
      </c>
      <c r="B29" s="82" t="s">
        <v>65</v>
      </c>
      <c r="C29" s="105" t="s">
        <v>28</v>
      </c>
      <c r="D29" s="104">
        <f t="shared" si="6"/>
        <v>1.754</v>
      </c>
      <c r="E29" s="104">
        <v>1.1180000000000001</v>
      </c>
      <c r="F29" s="104">
        <v>0</v>
      </c>
      <c r="G29" s="104">
        <v>0.44</v>
      </c>
      <c r="H29" s="104">
        <v>0.19600000000000001</v>
      </c>
      <c r="I29" s="104">
        <v>0</v>
      </c>
      <c r="J29" s="104">
        <v>0</v>
      </c>
      <c r="K29" s="104">
        <v>0</v>
      </c>
      <c r="L29" s="104">
        <v>0</v>
      </c>
      <c r="M29" s="104">
        <v>0</v>
      </c>
      <c r="N29" s="104">
        <v>0</v>
      </c>
      <c r="O29" s="104">
        <v>0</v>
      </c>
      <c r="P29" s="104">
        <v>0</v>
      </c>
      <c r="Q29" s="104">
        <v>0</v>
      </c>
      <c r="R29" s="104">
        <v>0</v>
      </c>
      <c r="S29" s="104">
        <v>0</v>
      </c>
      <c r="U29" s="43"/>
      <c r="V29" s="43"/>
      <c r="W29" s="44"/>
      <c r="X29" s="44"/>
      <c r="Y29" s="44"/>
      <c r="Z29" s="41"/>
      <c r="AA29" s="44"/>
      <c r="AB29" s="41"/>
      <c r="AC29" s="44"/>
      <c r="AD29" s="44"/>
      <c r="AE29" s="44"/>
      <c r="AF29" s="44"/>
      <c r="AG29" s="44"/>
      <c r="AH29" s="44"/>
    </row>
    <row r="30" spans="1:34" s="30" customFormat="1" ht="18.75" customHeight="1">
      <c r="A30" s="105" t="s">
        <v>33</v>
      </c>
      <c r="B30" s="82" t="s">
        <v>1784</v>
      </c>
      <c r="C30" s="105" t="s">
        <v>154</v>
      </c>
      <c r="D30" s="104">
        <f>SUM(D32:D41)</f>
        <v>97.384</v>
      </c>
      <c r="E30" s="104">
        <f t="shared" ref="E30:S30" si="7">SUM(E32:E41)</f>
        <v>28.779999999999998</v>
      </c>
      <c r="F30" s="104">
        <f t="shared" si="7"/>
        <v>8.5299999999999994</v>
      </c>
      <c r="G30" s="104">
        <f t="shared" si="7"/>
        <v>2.6439999999999997</v>
      </c>
      <c r="H30" s="104">
        <f t="shared" si="7"/>
        <v>12.2</v>
      </c>
      <c r="I30" s="104">
        <f t="shared" si="7"/>
        <v>2.13</v>
      </c>
      <c r="J30" s="104">
        <f t="shared" si="7"/>
        <v>3.4699999999999998</v>
      </c>
      <c r="K30" s="104">
        <f t="shared" si="7"/>
        <v>7.7829999999999995</v>
      </c>
      <c r="L30" s="104">
        <f t="shared" si="7"/>
        <v>1.91</v>
      </c>
      <c r="M30" s="104">
        <f t="shared" si="7"/>
        <v>2.41</v>
      </c>
      <c r="N30" s="104">
        <f t="shared" si="7"/>
        <v>3.5539999999999998</v>
      </c>
      <c r="O30" s="104">
        <f t="shared" si="7"/>
        <v>7.06</v>
      </c>
      <c r="P30" s="104">
        <f t="shared" si="7"/>
        <v>5.99</v>
      </c>
      <c r="Q30" s="104">
        <f t="shared" si="7"/>
        <v>1.6700000000000002</v>
      </c>
      <c r="R30" s="104">
        <f t="shared" si="7"/>
        <v>4.4730000000000008</v>
      </c>
      <c r="S30" s="104">
        <f t="shared" si="7"/>
        <v>4.78</v>
      </c>
      <c r="U30" s="43"/>
      <c r="V30" s="43"/>
      <c r="W30" s="44"/>
      <c r="X30" s="44"/>
      <c r="Y30" s="44"/>
      <c r="Z30" s="41"/>
      <c r="AA30" s="44"/>
      <c r="AB30" s="41"/>
      <c r="AC30" s="44"/>
      <c r="AD30" s="44"/>
      <c r="AE30" s="44"/>
      <c r="AF30" s="44"/>
      <c r="AG30" s="44"/>
      <c r="AH30" s="44"/>
    </row>
    <row r="31" spans="1:34" s="45" customFormat="1" ht="18.75" customHeight="1">
      <c r="A31" s="105"/>
      <c r="B31" s="82" t="s">
        <v>176</v>
      </c>
      <c r="C31" s="105"/>
      <c r="D31" s="104"/>
      <c r="E31" s="104"/>
      <c r="F31" s="104"/>
      <c r="G31" s="104"/>
      <c r="H31" s="104"/>
      <c r="I31" s="104"/>
      <c r="J31" s="104"/>
      <c r="K31" s="104"/>
      <c r="L31" s="104"/>
      <c r="M31" s="104"/>
      <c r="N31" s="104"/>
      <c r="O31" s="104"/>
      <c r="P31" s="104"/>
      <c r="Q31" s="104"/>
      <c r="R31" s="104"/>
      <c r="S31" s="104"/>
      <c r="U31" s="43"/>
      <c r="V31" s="43"/>
      <c r="W31" s="46"/>
      <c r="X31" s="46"/>
      <c r="Y31" s="46"/>
      <c r="Z31" s="41"/>
      <c r="AA31" s="46"/>
      <c r="AB31" s="41"/>
      <c r="AC31" s="46"/>
      <c r="AD31" s="46"/>
      <c r="AE31" s="46"/>
      <c r="AF31" s="46"/>
      <c r="AG31" s="46"/>
      <c r="AH31" s="46"/>
    </row>
    <row r="32" spans="1:34" s="45" customFormat="1" ht="18.75" customHeight="1">
      <c r="A32" s="105" t="s">
        <v>140</v>
      </c>
      <c r="B32" s="108" t="s">
        <v>109</v>
      </c>
      <c r="C32" s="80" t="s">
        <v>46</v>
      </c>
      <c r="D32" s="104">
        <f t="shared" ref="D32:D41" si="8">SUM(E32:S32)</f>
        <v>4.0259999999999998</v>
      </c>
      <c r="E32" s="104">
        <v>2.21</v>
      </c>
      <c r="F32" s="104">
        <v>0.06</v>
      </c>
      <c r="G32" s="104">
        <v>0.05</v>
      </c>
      <c r="H32" s="104">
        <v>0.25</v>
      </c>
      <c r="I32" s="104">
        <v>0</v>
      </c>
      <c r="J32" s="104">
        <v>0</v>
      </c>
      <c r="K32" s="104">
        <v>0.183</v>
      </c>
      <c r="L32" s="104">
        <v>0.13</v>
      </c>
      <c r="M32" s="104">
        <v>0</v>
      </c>
      <c r="N32" s="104">
        <v>0.19</v>
      </c>
      <c r="O32" s="104">
        <v>0.49</v>
      </c>
      <c r="P32" s="104">
        <v>0.1</v>
      </c>
      <c r="Q32" s="104">
        <v>0</v>
      </c>
      <c r="R32" s="104">
        <v>0.253</v>
      </c>
      <c r="S32" s="104">
        <v>0.11</v>
      </c>
      <c r="U32" s="43"/>
      <c r="V32" s="43"/>
      <c r="W32" s="46"/>
      <c r="X32" s="46"/>
      <c r="Y32" s="46"/>
      <c r="Z32" s="41"/>
      <c r="AA32" s="46"/>
      <c r="AB32" s="41"/>
      <c r="AC32" s="46"/>
      <c r="AD32" s="46"/>
      <c r="AE32" s="46"/>
      <c r="AF32" s="46"/>
      <c r="AG32" s="46"/>
      <c r="AH32" s="46"/>
    </row>
    <row r="33" spans="1:34" s="30" customFormat="1" ht="18.75" customHeight="1">
      <c r="A33" s="105" t="s">
        <v>140</v>
      </c>
      <c r="B33" s="82" t="s">
        <v>1785</v>
      </c>
      <c r="C33" s="105" t="s">
        <v>51</v>
      </c>
      <c r="D33" s="104">
        <f t="shared" si="8"/>
        <v>0.18</v>
      </c>
      <c r="E33" s="104">
        <v>0.18</v>
      </c>
      <c r="F33" s="104">
        <v>0</v>
      </c>
      <c r="G33" s="104">
        <v>0</v>
      </c>
      <c r="H33" s="104">
        <v>0</v>
      </c>
      <c r="I33" s="104">
        <v>0</v>
      </c>
      <c r="J33" s="104">
        <v>0</v>
      </c>
      <c r="K33" s="104">
        <v>0</v>
      </c>
      <c r="L33" s="104">
        <v>0</v>
      </c>
      <c r="M33" s="104">
        <v>0</v>
      </c>
      <c r="N33" s="104">
        <v>0</v>
      </c>
      <c r="O33" s="104">
        <v>0</v>
      </c>
      <c r="P33" s="104">
        <v>0</v>
      </c>
      <c r="Q33" s="104">
        <v>0</v>
      </c>
      <c r="R33" s="104">
        <v>0</v>
      </c>
      <c r="S33" s="104">
        <v>0</v>
      </c>
      <c r="U33" s="43"/>
      <c r="V33" s="43"/>
      <c r="W33" s="44"/>
      <c r="X33" s="44"/>
      <c r="Y33" s="44"/>
      <c r="Z33" s="41"/>
      <c r="AA33" s="44"/>
      <c r="AB33" s="41"/>
      <c r="AC33" s="44"/>
      <c r="AD33" s="44"/>
      <c r="AE33" s="44"/>
      <c r="AF33" s="44"/>
      <c r="AG33" s="44"/>
      <c r="AH33" s="44"/>
    </row>
    <row r="34" spans="1:34" s="30" customFormat="1" ht="18.75" customHeight="1">
      <c r="A34" s="105" t="s">
        <v>140</v>
      </c>
      <c r="B34" s="82" t="s">
        <v>111</v>
      </c>
      <c r="C34" s="105" t="s">
        <v>47</v>
      </c>
      <c r="D34" s="104">
        <f t="shared" si="8"/>
        <v>7.450000000000002</v>
      </c>
      <c r="E34" s="104">
        <v>3.53</v>
      </c>
      <c r="F34" s="104">
        <v>0.11</v>
      </c>
      <c r="G34" s="104">
        <v>0.25</v>
      </c>
      <c r="H34" s="104">
        <v>1.03</v>
      </c>
      <c r="I34" s="104">
        <v>0.15</v>
      </c>
      <c r="J34" s="104">
        <v>0.15</v>
      </c>
      <c r="K34" s="104">
        <v>0.12</v>
      </c>
      <c r="L34" s="104">
        <v>0.15</v>
      </c>
      <c r="M34" s="104">
        <v>0.04</v>
      </c>
      <c r="N34" s="104">
        <v>0.08</v>
      </c>
      <c r="O34" s="104">
        <v>0.81</v>
      </c>
      <c r="P34" s="104">
        <v>0.78</v>
      </c>
      <c r="Q34" s="104">
        <v>0.08</v>
      </c>
      <c r="R34" s="104">
        <v>7.0000000000000007E-2</v>
      </c>
      <c r="S34" s="104">
        <v>0.1</v>
      </c>
      <c r="U34" s="43"/>
      <c r="V34" s="43"/>
      <c r="W34" s="44"/>
      <c r="X34" s="44"/>
      <c r="Y34" s="44"/>
      <c r="Z34" s="41"/>
      <c r="AA34" s="44"/>
      <c r="AB34" s="41"/>
      <c r="AC34" s="44"/>
      <c r="AD34" s="44"/>
      <c r="AE34" s="44"/>
      <c r="AF34" s="44"/>
      <c r="AG34" s="44"/>
      <c r="AH34" s="44"/>
    </row>
    <row r="35" spans="1:34" s="30" customFormat="1" ht="18.75" customHeight="1">
      <c r="A35" s="105" t="s">
        <v>140</v>
      </c>
      <c r="B35" s="82" t="s">
        <v>166</v>
      </c>
      <c r="C35" s="105" t="s">
        <v>48</v>
      </c>
      <c r="D35" s="104">
        <f t="shared" si="8"/>
        <v>75.915999999999997</v>
      </c>
      <c r="E35" s="104">
        <v>19.13</v>
      </c>
      <c r="F35" s="104">
        <v>7.58</v>
      </c>
      <c r="G35" s="104">
        <v>2.0339999999999998</v>
      </c>
      <c r="H35" s="104">
        <v>9.6639999999999997</v>
      </c>
      <c r="I35" s="104">
        <v>1.75</v>
      </c>
      <c r="J35" s="104">
        <v>2.2999999999999998</v>
      </c>
      <c r="K35" s="104">
        <v>7.2039999999999997</v>
      </c>
      <c r="L35" s="104">
        <v>1.63</v>
      </c>
      <c r="M35" s="104">
        <v>2.37</v>
      </c>
      <c r="N35" s="104">
        <v>1.9339999999999999</v>
      </c>
      <c r="O35" s="104">
        <v>5.27</v>
      </c>
      <c r="P35" s="104">
        <v>4.74</v>
      </c>
      <c r="Q35" s="104">
        <v>1.59</v>
      </c>
      <c r="R35" s="104">
        <v>4.1500000000000004</v>
      </c>
      <c r="S35" s="104">
        <v>4.57</v>
      </c>
      <c r="U35" s="43"/>
      <c r="V35" s="43"/>
      <c r="W35" s="44"/>
      <c r="X35" s="44"/>
      <c r="Y35" s="44"/>
      <c r="Z35" s="41"/>
      <c r="AA35" s="44"/>
      <c r="AB35" s="41"/>
      <c r="AC35" s="44"/>
      <c r="AD35" s="44"/>
      <c r="AE35" s="44"/>
      <c r="AF35" s="44"/>
      <c r="AG35" s="44"/>
      <c r="AH35" s="44"/>
    </row>
    <row r="36" spans="1:34" s="30" customFormat="1" ht="18.75" customHeight="1">
      <c r="A36" s="105" t="s">
        <v>140</v>
      </c>
      <c r="B36" s="82" t="s">
        <v>1786</v>
      </c>
      <c r="C36" s="105" t="s">
        <v>49</v>
      </c>
      <c r="D36" s="104">
        <f t="shared" si="8"/>
        <v>9.8119999999999994</v>
      </c>
      <c r="E36" s="104">
        <v>3.73</v>
      </c>
      <c r="F36" s="104">
        <v>0.78</v>
      </c>
      <c r="G36" s="104">
        <v>0.31</v>
      </c>
      <c r="H36" s="104">
        <v>1.256</v>
      </c>
      <c r="I36" s="104">
        <v>0.23</v>
      </c>
      <c r="J36" s="104">
        <v>1.02</v>
      </c>
      <c r="K36" s="104">
        <v>0.27600000000000002</v>
      </c>
      <c r="L36" s="104">
        <v>0</v>
      </c>
      <c r="M36" s="104">
        <v>0</v>
      </c>
      <c r="N36" s="104">
        <v>1.35</v>
      </c>
      <c r="O36" s="104">
        <v>0.49</v>
      </c>
      <c r="P36" s="104">
        <v>0.37</v>
      </c>
      <c r="Q36" s="104">
        <v>0</v>
      </c>
      <c r="R36" s="104">
        <v>0</v>
      </c>
      <c r="S36" s="104">
        <v>0</v>
      </c>
      <c r="U36" s="43"/>
      <c r="V36" s="43"/>
      <c r="W36" s="44"/>
      <c r="X36" s="44"/>
      <c r="Y36" s="44"/>
      <c r="Z36" s="41"/>
      <c r="AA36" s="44"/>
      <c r="AB36" s="41"/>
      <c r="AC36" s="44"/>
      <c r="AD36" s="44"/>
      <c r="AE36" s="44"/>
      <c r="AF36" s="44"/>
      <c r="AG36" s="44"/>
      <c r="AH36" s="44"/>
    </row>
    <row r="37" spans="1:34" s="45" customFormat="1" ht="18.75" customHeight="1">
      <c r="A37" s="105" t="s">
        <v>140</v>
      </c>
      <c r="B37" s="82" t="s">
        <v>113</v>
      </c>
      <c r="C37" s="105" t="s">
        <v>50</v>
      </c>
      <c r="D37" s="104">
        <f t="shared" si="8"/>
        <v>0</v>
      </c>
      <c r="E37" s="104"/>
      <c r="F37" s="104"/>
      <c r="G37" s="104"/>
      <c r="H37" s="104"/>
      <c r="I37" s="104"/>
      <c r="J37" s="104"/>
      <c r="K37" s="104"/>
      <c r="L37" s="104"/>
      <c r="M37" s="104"/>
      <c r="N37" s="104"/>
      <c r="O37" s="104"/>
      <c r="P37" s="104"/>
      <c r="Q37" s="104"/>
      <c r="R37" s="104"/>
      <c r="S37" s="104"/>
      <c r="U37" s="43"/>
      <c r="V37" s="43"/>
      <c r="W37" s="46"/>
      <c r="X37" s="46"/>
      <c r="Y37" s="46"/>
      <c r="Z37" s="41"/>
      <c r="AA37" s="46"/>
      <c r="AB37" s="41"/>
      <c r="AC37" s="46"/>
      <c r="AD37" s="46"/>
      <c r="AE37" s="46"/>
      <c r="AF37" s="46"/>
      <c r="AG37" s="46"/>
      <c r="AH37" s="46"/>
    </row>
    <row r="38" spans="1:34" s="45" customFormat="1" ht="18.75" customHeight="1">
      <c r="A38" s="105" t="s">
        <v>140</v>
      </c>
      <c r="B38" s="82" t="s">
        <v>1787</v>
      </c>
      <c r="C38" s="105" t="s">
        <v>1812</v>
      </c>
      <c r="D38" s="104">
        <f t="shared" si="8"/>
        <v>0</v>
      </c>
      <c r="E38" s="104"/>
      <c r="F38" s="104"/>
      <c r="G38" s="104"/>
      <c r="H38" s="104"/>
      <c r="I38" s="104"/>
      <c r="J38" s="104"/>
      <c r="K38" s="104"/>
      <c r="L38" s="104"/>
      <c r="M38" s="104"/>
      <c r="N38" s="104"/>
      <c r="O38" s="104"/>
      <c r="P38" s="104"/>
      <c r="Q38" s="104"/>
      <c r="R38" s="104"/>
      <c r="S38" s="104"/>
      <c r="U38" s="43"/>
      <c r="V38" s="43"/>
      <c r="W38" s="46"/>
      <c r="X38" s="46"/>
      <c r="Y38" s="46"/>
      <c r="Z38" s="41"/>
      <c r="AA38" s="46"/>
      <c r="AB38" s="41"/>
      <c r="AC38" s="46"/>
      <c r="AD38" s="46"/>
      <c r="AE38" s="46"/>
      <c r="AF38" s="46"/>
      <c r="AG38" s="46"/>
      <c r="AH38" s="46"/>
    </row>
    <row r="39" spans="1:34" s="30" customFormat="1" ht="18.75" customHeight="1">
      <c r="A39" s="105" t="s">
        <v>140</v>
      </c>
      <c r="B39" s="82" t="s">
        <v>1788</v>
      </c>
      <c r="C39" s="105" t="s">
        <v>1813</v>
      </c>
      <c r="D39" s="104">
        <f t="shared" si="8"/>
        <v>0</v>
      </c>
      <c r="E39" s="104"/>
      <c r="F39" s="104"/>
      <c r="G39" s="104"/>
      <c r="H39" s="104"/>
      <c r="I39" s="104"/>
      <c r="J39" s="104"/>
      <c r="K39" s="104"/>
      <c r="L39" s="104"/>
      <c r="M39" s="104"/>
      <c r="N39" s="104"/>
      <c r="O39" s="104"/>
      <c r="P39" s="104"/>
      <c r="Q39" s="104"/>
      <c r="R39" s="104"/>
      <c r="S39" s="104"/>
      <c r="U39" s="43"/>
      <c r="V39" s="43"/>
      <c r="W39" s="44"/>
      <c r="X39" s="44"/>
      <c r="Y39" s="44"/>
      <c r="Z39" s="41"/>
      <c r="AA39" s="44"/>
      <c r="AB39" s="41"/>
      <c r="AC39" s="44"/>
      <c r="AD39" s="44"/>
      <c r="AE39" s="44"/>
      <c r="AF39" s="44"/>
      <c r="AG39" s="44"/>
      <c r="AH39" s="44"/>
    </row>
    <row r="40" spans="1:34" s="30" customFormat="1" ht="18.75" customHeight="1">
      <c r="A40" s="105" t="s">
        <v>140</v>
      </c>
      <c r="B40" s="82" t="s">
        <v>97</v>
      </c>
      <c r="C40" s="105" t="s">
        <v>98</v>
      </c>
      <c r="D40" s="104">
        <f t="shared" si="8"/>
        <v>0</v>
      </c>
      <c r="E40" s="104"/>
      <c r="F40" s="104"/>
      <c r="G40" s="104"/>
      <c r="H40" s="104"/>
      <c r="I40" s="104"/>
      <c r="J40" s="104"/>
      <c r="K40" s="104"/>
      <c r="L40" s="104"/>
      <c r="M40" s="104"/>
      <c r="N40" s="104"/>
      <c r="O40" s="104"/>
      <c r="P40" s="104"/>
      <c r="Q40" s="104"/>
      <c r="R40" s="104"/>
      <c r="S40" s="104"/>
      <c r="U40" s="43"/>
      <c r="V40" s="43"/>
      <c r="W40" s="44"/>
      <c r="X40" s="44"/>
      <c r="Y40" s="44"/>
      <c r="Z40" s="41"/>
      <c r="AA40" s="44"/>
      <c r="AB40" s="41"/>
      <c r="AC40" s="44"/>
      <c r="AD40" s="44"/>
      <c r="AE40" s="44"/>
      <c r="AF40" s="44"/>
      <c r="AG40" s="44"/>
      <c r="AH40" s="44"/>
    </row>
    <row r="41" spans="1:34" s="45" customFormat="1" ht="18.75" customHeight="1">
      <c r="A41" s="105" t="s">
        <v>140</v>
      </c>
      <c r="B41" s="82" t="s">
        <v>114</v>
      </c>
      <c r="C41" s="105" t="s">
        <v>116</v>
      </c>
      <c r="D41" s="104">
        <f t="shared" si="8"/>
        <v>0</v>
      </c>
      <c r="E41" s="104"/>
      <c r="F41" s="104"/>
      <c r="G41" s="104"/>
      <c r="H41" s="104"/>
      <c r="I41" s="104"/>
      <c r="J41" s="104"/>
      <c r="K41" s="104"/>
      <c r="L41" s="104"/>
      <c r="M41" s="104"/>
      <c r="N41" s="104"/>
      <c r="O41" s="104"/>
      <c r="P41" s="104"/>
      <c r="Q41" s="104"/>
      <c r="R41" s="104"/>
      <c r="S41" s="104"/>
      <c r="U41" s="43"/>
      <c r="V41" s="43"/>
      <c r="W41" s="46"/>
      <c r="X41" s="46"/>
      <c r="Y41" s="46"/>
      <c r="Z41" s="41"/>
      <c r="AA41" s="46"/>
      <c r="AB41" s="41"/>
      <c r="AC41" s="46"/>
      <c r="AD41" s="46"/>
      <c r="AE41" s="46"/>
      <c r="AF41" s="46"/>
      <c r="AG41" s="46"/>
      <c r="AH41" s="46"/>
    </row>
    <row r="42" spans="1:34" s="45" customFormat="1" ht="18.75" customHeight="1">
      <c r="A42" s="105" t="s">
        <v>67</v>
      </c>
      <c r="B42" s="82" t="s">
        <v>1789</v>
      </c>
      <c r="C42" s="105" t="s">
        <v>155</v>
      </c>
      <c r="D42" s="104">
        <f>SUM(D43:D48)</f>
        <v>1167.5740000000001</v>
      </c>
      <c r="E42" s="104">
        <f t="shared" ref="E42:S42" si="9">SUM(E43:E48)</f>
        <v>220.88</v>
      </c>
      <c r="F42" s="104">
        <f t="shared" si="9"/>
        <v>5.0540000000000003</v>
      </c>
      <c r="G42" s="104">
        <f t="shared" si="9"/>
        <v>13.465999999999999</v>
      </c>
      <c r="H42" s="104">
        <f t="shared" si="9"/>
        <v>316.27200000000005</v>
      </c>
      <c r="I42" s="104">
        <f t="shared" si="9"/>
        <v>3.7659999999999996</v>
      </c>
      <c r="J42" s="104">
        <f t="shared" si="9"/>
        <v>57.285999999999994</v>
      </c>
      <c r="K42" s="104">
        <f t="shared" si="9"/>
        <v>15.879999999999999</v>
      </c>
      <c r="L42" s="104">
        <f t="shared" si="9"/>
        <v>3.3940000000000001</v>
      </c>
      <c r="M42" s="104">
        <f t="shared" si="9"/>
        <v>3.548</v>
      </c>
      <c r="N42" s="104">
        <f t="shared" si="9"/>
        <v>8.35</v>
      </c>
      <c r="O42" s="104">
        <f t="shared" si="9"/>
        <v>50.616</v>
      </c>
      <c r="P42" s="104">
        <f t="shared" si="9"/>
        <v>148.898</v>
      </c>
      <c r="Q42" s="104">
        <f t="shared" si="9"/>
        <v>0.63200000000000001</v>
      </c>
      <c r="R42" s="104">
        <f t="shared" si="9"/>
        <v>313.78800000000001</v>
      </c>
      <c r="S42" s="104">
        <f t="shared" si="9"/>
        <v>5.7439999999999989</v>
      </c>
      <c r="U42" s="43"/>
      <c r="V42" s="43"/>
      <c r="W42" s="46"/>
      <c r="X42" s="46"/>
      <c r="Y42" s="46"/>
      <c r="Z42" s="41"/>
      <c r="AA42" s="46"/>
      <c r="AB42" s="41"/>
      <c r="AC42" s="46"/>
      <c r="AD42" s="46"/>
      <c r="AE42" s="46"/>
      <c r="AF42" s="46"/>
      <c r="AG42" s="46"/>
      <c r="AH42" s="46"/>
    </row>
    <row r="43" spans="1:34" s="45" customFormat="1" ht="18.75" customHeight="1">
      <c r="A43" s="105" t="s">
        <v>140</v>
      </c>
      <c r="B43" s="82" t="s">
        <v>66</v>
      </c>
      <c r="C43" s="105" t="s">
        <v>30</v>
      </c>
      <c r="D43" s="104">
        <f t="shared" ref="D43:D48" si="10">SUM(E43:S43)</f>
        <v>878.40600000000006</v>
      </c>
      <c r="E43" s="104">
        <v>189.1</v>
      </c>
      <c r="F43" s="104">
        <v>0</v>
      </c>
      <c r="G43" s="104">
        <v>0</v>
      </c>
      <c r="H43" s="104">
        <v>305.97000000000003</v>
      </c>
      <c r="I43" s="104">
        <v>0</v>
      </c>
      <c r="J43" s="104">
        <v>0</v>
      </c>
      <c r="K43" s="104">
        <v>0</v>
      </c>
      <c r="L43" s="104">
        <v>0</v>
      </c>
      <c r="M43" s="104">
        <v>0</v>
      </c>
      <c r="N43" s="104">
        <v>0</v>
      </c>
      <c r="O43" s="104">
        <v>0</v>
      </c>
      <c r="P43" s="104">
        <v>77.835999999999999</v>
      </c>
      <c r="Q43" s="104">
        <v>0</v>
      </c>
      <c r="R43" s="104">
        <v>305.5</v>
      </c>
      <c r="S43" s="104">
        <v>0</v>
      </c>
      <c r="U43" s="43"/>
      <c r="V43" s="43"/>
      <c r="W43" s="46"/>
      <c r="X43" s="46"/>
      <c r="Y43" s="46"/>
      <c r="Z43" s="41"/>
      <c r="AA43" s="46"/>
      <c r="AB43" s="41"/>
      <c r="AC43" s="46"/>
      <c r="AD43" s="46"/>
      <c r="AE43" s="46"/>
      <c r="AF43" s="46"/>
      <c r="AG43" s="46"/>
      <c r="AH43" s="46"/>
    </row>
    <row r="44" spans="1:34" s="30" customFormat="1" ht="18.75" customHeight="1">
      <c r="A44" s="105" t="s">
        <v>140</v>
      </c>
      <c r="B44" s="82" t="s">
        <v>86</v>
      </c>
      <c r="C44" s="105" t="s">
        <v>87</v>
      </c>
      <c r="D44" s="104">
        <f t="shared" si="10"/>
        <v>127.41399999999999</v>
      </c>
      <c r="E44" s="104">
        <v>0</v>
      </c>
      <c r="F44" s="104">
        <v>0</v>
      </c>
      <c r="G44" s="104">
        <v>0</v>
      </c>
      <c r="H44" s="104">
        <v>0</v>
      </c>
      <c r="I44" s="104">
        <v>0</v>
      </c>
      <c r="J44" s="104">
        <v>54.663999999999994</v>
      </c>
      <c r="K44" s="104">
        <v>0</v>
      </c>
      <c r="L44" s="104">
        <v>0</v>
      </c>
      <c r="M44" s="104">
        <v>0</v>
      </c>
      <c r="N44" s="104">
        <v>0</v>
      </c>
      <c r="O44" s="104">
        <v>21.48</v>
      </c>
      <c r="P44" s="104">
        <v>51.269999999999996</v>
      </c>
      <c r="Q44" s="104">
        <v>0</v>
      </c>
      <c r="R44" s="104">
        <v>0</v>
      </c>
      <c r="S44" s="104">
        <v>0</v>
      </c>
      <c r="U44" s="43"/>
      <c r="V44" s="43"/>
      <c r="W44" s="44"/>
      <c r="X44" s="44"/>
      <c r="Y44" s="44"/>
      <c r="Z44" s="41"/>
      <c r="AA44" s="44"/>
      <c r="AB44" s="41"/>
      <c r="AC44" s="44"/>
      <c r="AD44" s="44"/>
      <c r="AE44" s="44"/>
      <c r="AF44" s="44"/>
      <c r="AG44" s="44"/>
      <c r="AH44" s="44"/>
    </row>
    <row r="45" spans="1:34" s="30" customFormat="1" ht="18.75" customHeight="1">
      <c r="A45" s="105" t="s">
        <v>140</v>
      </c>
      <c r="B45" s="82" t="s">
        <v>1790</v>
      </c>
      <c r="C45" s="105" t="s">
        <v>1814</v>
      </c>
      <c r="D45" s="104">
        <f t="shared" si="10"/>
        <v>0</v>
      </c>
      <c r="E45" s="104"/>
      <c r="F45" s="104"/>
      <c r="G45" s="104"/>
      <c r="H45" s="104"/>
      <c r="I45" s="104"/>
      <c r="J45" s="104"/>
      <c r="K45" s="104"/>
      <c r="L45" s="104"/>
      <c r="M45" s="104"/>
      <c r="N45" s="104"/>
      <c r="O45" s="104"/>
      <c r="P45" s="104"/>
      <c r="Q45" s="104"/>
      <c r="R45" s="104"/>
      <c r="S45" s="104"/>
      <c r="U45" s="43"/>
      <c r="V45" s="43"/>
      <c r="W45" s="44"/>
      <c r="X45" s="44"/>
      <c r="Y45" s="44"/>
      <c r="Z45" s="41"/>
      <c r="AA45" s="44"/>
      <c r="AB45" s="41"/>
      <c r="AC45" s="44"/>
      <c r="AD45" s="44"/>
      <c r="AE45" s="44"/>
      <c r="AF45" s="44"/>
      <c r="AG45" s="44"/>
      <c r="AH45" s="44"/>
    </row>
    <row r="46" spans="1:34" s="30" customFormat="1" ht="18.75" customHeight="1">
      <c r="A46" s="105" t="s">
        <v>140</v>
      </c>
      <c r="B46" s="108" t="s">
        <v>204</v>
      </c>
      <c r="C46" s="80" t="s">
        <v>88</v>
      </c>
      <c r="D46" s="104">
        <f t="shared" si="10"/>
        <v>29.403999999999996</v>
      </c>
      <c r="E46" s="104">
        <v>13.53</v>
      </c>
      <c r="F46" s="104">
        <v>1.474</v>
      </c>
      <c r="G46" s="104">
        <v>0.88600000000000001</v>
      </c>
      <c r="H46" s="104">
        <v>3.6560000000000001</v>
      </c>
      <c r="I46" s="104">
        <v>4.2000000000000003E-2</v>
      </c>
      <c r="J46" s="104">
        <v>0.246</v>
      </c>
      <c r="K46" s="104">
        <v>1.77</v>
      </c>
      <c r="L46" s="104">
        <v>0</v>
      </c>
      <c r="M46" s="104">
        <v>1.3340000000000001</v>
      </c>
      <c r="N46" s="104">
        <v>0.04</v>
      </c>
      <c r="O46" s="104">
        <v>4.8660000000000005</v>
      </c>
      <c r="P46" s="104">
        <v>0</v>
      </c>
      <c r="Q46" s="104">
        <v>0.63200000000000001</v>
      </c>
      <c r="R46" s="104">
        <v>0.45800000000000002</v>
      </c>
      <c r="S46" s="104">
        <v>0.47</v>
      </c>
      <c r="U46" s="43"/>
      <c r="V46" s="43"/>
      <c r="W46" s="44"/>
      <c r="X46" s="44"/>
      <c r="Y46" s="44"/>
      <c r="Z46" s="41"/>
      <c r="AA46" s="44"/>
      <c r="AB46" s="41"/>
      <c r="AC46" s="44"/>
      <c r="AD46" s="44"/>
      <c r="AE46" s="44"/>
      <c r="AF46" s="44"/>
      <c r="AG46" s="44"/>
      <c r="AH46" s="44"/>
    </row>
    <row r="47" spans="1:34" s="30" customFormat="1" ht="18.75" customHeight="1">
      <c r="A47" s="105" t="s">
        <v>140</v>
      </c>
      <c r="B47" s="108" t="s">
        <v>89</v>
      </c>
      <c r="C47" s="80" t="s">
        <v>32</v>
      </c>
      <c r="D47" s="104">
        <f t="shared" si="10"/>
        <v>132.35</v>
      </c>
      <c r="E47" s="104">
        <v>18.25</v>
      </c>
      <c r="F47" s="104">
        <v>3.58</v>
      </c>
      <c r="G47" s="104">
        <v>12.58</v>
      </c>
      <c r="H47" s="104">
        <v>6.6460000000000008</v>
      </c>
      <c r="I47" s="104">
        <v>3.7239999999999998</v>
      </c>
      <c r="J47" s="104">
        <v>2.3759999999999999</v>
      </c>
      <c r="K47" s="104">
        <v>14.11</v>
      </c>
      <c r="L47" s="104">
        <v>3.3940000000000001</v>
      </c>
      <c r="M47" s="104">
        <v>2.214</v>
      </c>
      <c r="N47" s="104">
        <v>8.31</v>
      </c>
      <c r="O47" s="104">
        <v>24.27</v>
      </c>
      <c r="P47" s="104">
        <v>19.792000000000002</v>
      </c>
      <c r="Q47" s="104">
        <v>0</v>
      </c>
      <c r="R47" s="104">
        <v>7.83</v>
      </c>
      <c r="S47" s="104">
        <v>5.2739999999999991</v>
      </c>
      <c r="U47" s="43"/>
      <c r="V47" s="43"/>
      <c r="W47" s="44"/>
      <c r="X47" s="44"/>
      <c r="Y47" s="44"/>
      <c r="Z47" s="41"/>
      <c r="AA47" s="44"/>
      <c r="AB47" s="41"/>
      <c r="AC47" s="44"/>
      <c r="AD47" s="44"/>
      <c r="AE47" s="44"/>
      <c r="AF47" s="44"/>
      <c r="AG47" s="44"/>
      <c r="AH47" s="44"/>
    </row>
    <row r="48" spans="1:34" s="30" customFormat="1" ht="18.75" customHeight="1">
      <c r="A48" s="105" t="s">
        <v>140</v>
      </c>
      <c r="B48" s="82" t="s">
        <v>94</v>
      </c>
      <c r="C48" s="105" t="s">
        <v>34</v>
      </c>
      <c r="D48" s="104">
        <f t="shared" si="10"/>
        <v>0</v>
      </c>
      <c r="E48" s="104"/>
      <c r="F48" s="104"/>
      <c r="G48" s="104"/>
      <c r="H48" s="104"/>
      <c r="I48" s="104"/>
      <c r="J48" s="104"/>
      <c r="K48" s="104"/>
      <c r="L48" s="104"/>
      <c r="M48" s="104"/>
      <c r="N48" s="104"/>
      <c r="O48" s="104"/>
      <c r="P48" s="104"/>
      <c r="Q48" s="104"/>
      <c r="R48" s="104"/>
      <c r="S48" s="104"/>
      <c r="U48" s="43"/>
      <c r="V48" s="43"/>
      <c r="W48" s="44"/>
      <c r="X48" s="44"/>
      <c r="Y48" s="44"/>
      <c r="Z48" s="41"/>
      <c r="AA48" s="44"/>
      <c r="AB48" s="41"/>
      <c r="AC48" s="44"/>
      <c r="AD48" s="44"/>
      <c r="AE48" s="44"/>
      <c r="AF48" s="44"/>
      <c r="AG48" s="44"/>
      <c r="AH48" s="44"/>
    </row>
    <row r="49" spans="1:34" s="30" customFormat="1" ht="18.75" customHeight="1">
      <c r="A49" s="105" t="s">
        <v>68</v>
      </c>
      <c r="B49" s="82" t="s">
        <v>1791</v>
      </c>
      <c r="C49" s="105" t="s">
        <v>156</v>
      </c>
      <c r="D49" s="104">
        <f>SUM(D51:D60)</f>
        <v>840.12699999999995</v>
      </c>
      <c r="E49" s="104">
        <f t="shared" ref="E49:S49" si="11">SUM(E51:E60)</f>
        <v>140.84400000000002</v>
      </c>
      <c r="F49" s="104">
        <f t="shared" si="11"/>
        <v>28.520000000000003</v>
      </c>
      <c r="G49" s="104">
        <f t="shared" si="11"/>
        <v>19.364000000000001</v>
      </c>
      <c r="H49" s="104">
        <f t="shared" si="11"/>
        <v>156.00000000000003</v>
      </c>
      <c r="I49" s="104">
        <f t="shared" si="11"/>
        <v>19.910000000000004</v>
      </c>
      <c r="J49" s="104">
        <f t="shared" si="11"/>
        <v>34.372</v>
      </c>
      <c r="K49" s="104">
        <f t="shared" si="11"/>
        <v>31.72</v>
      </c>
      <c r="L49" s="104">
        <f t="shared" si="11"/>
        <v>18.785999999999998</v>
      </c>
      <c r="M49" s="104">
        <f t="shared" si="11"/>
        <v>54.11</v>
      </c>
      <c r="N49" s="104">
        <f t="shared" si="11"/>
        <v>32.165999999999997</v>
      </c>
      <c r="O49" s="104">
        <f t="shared" si="11"/>
        <v>109.70300000000002</v>
      </c>
      <c r="P49" s="104">
        <f t="shared" si="11"/>
        <v>51.696000000000005</v>
      </c>
      <c r="Q49" s="104">
        <f t="shared" si="11"/>
        <v>31.734000000000005</v>
      </c>
      <c r="R49" s="104">
        <f t="shared" si="11"/>
        <v>86.574000000000012</v>
      </c>
      <c r="S49" s="104">
        <f t="shared" si="11"/>
        <v>24.628000000000004</v>
      </c>
      <c r="U49" s="43"/>
      <c r="V49" s="43"/>
      <c r="W49" s="44"/>
      <c r="X49" s="44"/>
      <c r="Y49" s="44"/>
      <c r="Z49" s="41"/>
      <c r="AA49" s="44"/>
      <c r="AB49" s="41"/>
      <c r="AC49" s="44"/>
      <c r="AD49" s="44"/>
      <c r="AE49" s="44"/>
      <c r="AF49" s="44"/>
      <c r="AG49" s="44"/>
      <c r="AH49" s="44"/>
    </row>
    <row r="50" spans="1:34" s="30" customFormat="1" ht="18.75" customHeight="1">
      <c r="A50" s="105"/>
      <c r="B50" s="82" t="s">
        <v>176</v>
      </c>
      <c r="C50" s="105"/>
      <c r="D50" s="104"/>
      <c r="E50" s="104"/>
      <c r="F50" s="104"/>
      <c r="G50" s="104"/>
      <c r="H50" s="104"/>
      <c r="I50" s="104"/>
      <c r="J50" s="104"/>
      <c r="K50" s="104"/>
      <c r="L50" s="104"/>
      <c r="M50" s="104"/>
      <c r="N50" s="104"/>
      <c r="O50" s="104"/>
      <c r="P50" s="104"/>
      <c r="Q50" s="104"/>
      <c r="R50" s="104"/>
      <c r="S50" s="104"/>
      <c r="U50" s="43"/>
      <c r="V50" s="43"/>
      <c r="W50" s="44"/>
      <c r="X50" s="44"/>
      <c r="Y50" s="44"/>
      <c r="Z50" s="41"/>
      <c r="AA50" s="44"/>
      <c r="AB50" s="41"/>
      <c r="AC50" s="44"/>
      <c r="AD50" s="44"/>
      <c r="AE50" s="44"/>
      <c r="AF50" s="44"/>
      <c r="AG50" s="44"/>
      <c r="AH50" s="44"/>
    </row>
    <row r="51" spans="1:34" s="30" customFormat="1" ht="18.75" customHeight="1">
      <c r="A51" s="105" t="s">
        <v>140</v>
      </c>
      <c r="B51" s="82" t="s">
        <v>1792</v>
      </c>
      <c r="C51" s="105" t="s">
        <v>42</v>
      </c>
      <c r="D51" s="104">
        <f t="shared" ref="D51:D65" si="12">SUM(E51:S51)</f>
        <v>796.83600000000001</v>
      </c>
      <c r="E51" s="104">
        <v>136.31</v>
      </c>
      <c r="F51" s="104">
        <v>27.424000000000003</v>
      </c>
      <c r="G51" s="104">
        <v>18.854000000000003</v>
      </c>
      <c r="H51" s="104">
        <v>142.36000000000001</v>
      </c>
      <c r="I51" s="104">
        <v>19.8</v>
      </c>
      <c r="J51" s="104">
        <v>31.76</v>
      </c>
      <c r="K51" s="104">
        <v>31.45</v>
      </c>
      <c r="L51" s="104">
        <v>18.54</v>
      </c>
      <c r="M51" s="104">
        <v>53.81</v>
      </c>
      <c r="N51" s="104">
        <v>31.82</v>
      </c>
      <c r="O51" s="104">
        <v>94.86</v>
      </c>
      <c r="P51" s="104">
        <v>49.016000000000005</v>
      </c>
      <c r="Q51" s="104">
        <v>31.294</v>
      </c>
      <c r="R51" s="104">
        <v>85.024000000000001</v>
      </c>
      <c r="S51" s="104">
        <v>24.514000000000003</v>
      </c>
      <c r="U51" s="43"/>
      <c r="V51" s="43"/>
      <c r="W51" s="44"/>
      <c r="X51" s="44"/>
      <c r="Y51" s="44"/>
      <c r="Z51" s="41"/>
      <c r="AA51" s="44"/>
      <c r="AB51" s="41"/>
      <c r="AC51" s="44"/>
      <c r="AD51" s="44"/>
      <c r="AE51" s="44"/>
      <c r="AF51" s="44"/>
      <c r="AG51" s="44"/>
      <c r="AH51" s="44"/>
    </row>
    <row r="52" spans="1:34" s="30" customFormat="1" ht="18.75" customHeight="1">
      <c r="A52" s="105" t="s">
        <v>140</v>
      </c>
      <c r="B52" s="108" t="s">
        <v>1793</v>
      </c>
      <c r="C52" s="80" t="s">
        <v>43</v>
      </c>
      <c r="D52" s="104">
        <f t="shared" si="12"/>
        <v>0.78</v>
      </c>
      <c r="E52" s="104">
        <v>0.12</v>
      </c>
      <c r="F52" s="104">
        <v>0</v>
      </c>
      <c r="G52" s="104">
        <v>0</v>
      </c>
      <c r="H52" s="104">
        <v>0.22</v>
      </c>
      <c r="I52" s="104">
        <v>0</v>
      </c>
      <c r="J52" s="104">
        <v>0.03</v>
      </c>
      <c r="K52" s="104">
        <v>0.06</v>
      </c>
      <c r="L52" s="104">
        <v>0</v>
      </c>
      <c r="M52" s="104">
        <v>0</v>
      </c>
      <c r="N52" s="104">
        <v>0</v>
      </c>
      <c r="O52" s="104">
        <v>0.15</v>
      </c>
      <c r="P52" s="104">
        <v>0.17</v>
      </c>
      <c r="Q52" s="104">
        <v>0</v>
      </c>
      <c r="R52" s="104">
        <v>0</v>
      </c>
      <c r="S52" s="104">
        <v>0.03</v>
      </c>
      <c r="U52" s="43"/>
      <c r="V52" s="43"/>
      <c r="W52" s="44"/>
      <c r="X52" s="44"/>
      <c r="Y52" s="44"/>
      <c r="Z52" s="41"/>
      <c r="AA52" s="44"/>
      <c r="AB52" s="41"/>
      <c r="AC52" s="44"/>
      <c r="AD52" s="44"/>
      <c r="AE52" s="44"/>
      <c r="AF52" s="44"/>
      <c r="AG52" s="44"/>
      <c r="AH52" s="44"/>
    </row>
    <row r="53" spans="1:34" s="30" customFormat="1" ht="18.75" customHeight="1">
      <c r="A53" s="105" t="s">
        <v>140</v>
      </c>
      <c r="B53" s="108" t="s">
        <v>1794</v>
      </c>
      <c r="C53" s="80" t="s">
        <v>1815</v>
      </c>
      <c r="D53" s="104">
        <f t="shared" si="12"/>
        <v>0</v>
      </c>
      <c r="E53" s="104"/>
      <c r="F53" s="104"/>
      <c r="G53" s="104"/>
      <c r="H53" s="104"/>
      <c r="I53" s="104"/>
      <c r="J53" s="104"/>
      <c r="K53" s="104"/>
      <c r="L53" s="104"/>
      <c r="M53" s="104"/>
      <c r="N53" s="104"/>
      <c r="O53" s="104"/>
      <c r="P53" s="104"/>
      <c r="Q53" s="104"/>
      <c r="R53" s="104"/>
      <c r="S53" s="104"/>
      <c r="U53" s="43"/>
      <c r="V53" s="43"/>
      <c r="W53" s="44"/>
      <c r="X53" s="44"/>
      <c r="Y53" s="44"/>
      <c r="Z53" s="41"/>
      <c r="AA53" s="44"/>
      <c r="AB53" s="41"/>
      <c r="AC53" s="44"/>
      <c r="AD53" s="44"/>
      <c r="AE53" s="44"/>
      <c r="AF53" s="44"/>
      <c r="AG53" s="44"/>
      <c r="AH53" s="44"/>
    </row>
    <row r="54" spans="1:34" s="30" customFormat="1" ht="18.75" customHeight="1">
      <c r="A54" s="105" t="s">
        <v>140</v>
      </c>
      <c r="B54" s="82" t="s">
        <v>1795</v>
      </c>
      <c r="C54" s="105" t="s">
        <v>1816</v>
      </c>
      <c r="D54" s="104">
        <f t="shared" si="12"/>
        <v>0</v>
      </c>
      <c r="E54" s="104"/>
      <c r="F54" s="104"/>
      <c r="G54" s="104"/>
      <c r="H54" s="104"/>
      <c r="I54" s="104"/>
      <c r="J54" s="104"/>
      <c r="K54" s="104"/>
      <c r="L54" s="104"/>
      <c r="M54" s="104"/>
      <c r="N54" s="104"/>
      <c r="O54" s="104"/>
      <c r="P54" s="104"/>
      <c r="Q54" s="104"/>
      <c r="R54" s="104"/>
      <c r="S54" s="104"/>
      <c r="U54" s="43"/>
      <c r="V54" s="43"/>
      <c r="W54" s="44"/>
      <c r="X54" s="44"/>
      <c r="Y54" s="44"/>
      <c r="Z54" s="41"/>
      <c r="AA54" s="44"/>
      <c r="AB54" s="41"/>
      <c r="AC54" s="44"/>
      <c r="AD54" s="44"/>
      <c r="AE54" s="44"/>
      <c r="AF54" s="44"/>
      <c r="AG54" s="44"/>
      <c r="AH54" s="44"/>
    </row>
    <row r="55" spans="1:34" s="30" customFormat="1" ht="34" customHeight="1">
      <c r="A55" s="105" t="s">
        <v>140</v>
      </c>
      <c r="B55" s="82" t="s">
        <v>1796</v>
      </c>
      <c r="C55" s="105" t="s">
        <v>1817</v>
      </c>
      <c r="D55" s="104">
        <f t="shared" si="12"/>
        <v>0.67300000000000004</v>
      </c>
      <c r="E55" s="104">
        <v>0.08</v>
      </c>
      <c r="F55" s="104">
        <v>0</v>
      </c>
      <c r="G55" s="104">
        <v>0</v>
      </c>
      <c r="H55" s="104">
        <v>0</v>
      </c>
      <c r="I55" s="104">
        <v>0</v>
      </c>
      <c r="J55" s="104">
        <v>0</v>
      </c>
      <c r="K55" s="104">
        <v>0</v>
      </c>
      <c r="L55" s="104">
        <v>0</v>
      </c>
      <c r="M55" s="104">
        <v>0</v>
      </c>
      <c r="N55" s="104">
        <v>0.13</v>
      </c>
      <c r="O55" s="104">
        <v>0.183</v>
      </c>
      <c r="P55" s="104">
        <v>7.0000000000000007E-2</v>
      </c>
      <c r="Q55" s="104">
        <v>0.17</v>
      </c>
      <c r="R55" s="104">
        <v>0.04</v>
      </c>
      <c r="S55" s="104">
        <v>0</v>
      </c>
      <c r="U55" s="43"/>
      <c r="V55" s="43"/>
      <c r="W55" s="44"/>
      <c r="X55" s="44"/>
      <c r="Y55" s="44"/>
      <c r="Z55" s="41"/>
      <c r="AA55" s="44"/>
      <c r="AB55" s="41"/>
      <c r="AC55" s="44"/>
      <c r="AD55" s="44"/>
      <c r="AE55" s="44"/>
      <c r="AF55" s="44"/>
      <c r="AG55" s="44"/>
      <c r="AH55" s="44"/>
    </row>
    <row r="56" spans="1:34" s="30" customFormat="1" ht="18.75" customHeight="1">
      <c r="A56" s="105" t="s">
        <v>140</v>
      </c>
      <c r="B56" s="108" t="s">
        <v>1797</v>
      </c>
      <c r="C56" s="80" t="s">
        <v>36</v>
      </c>
      <c r="D56" s="104">
        <f t="shared" si="12"/>
        <v>0.13</v>
      </c>
      <c r="E56" s="104">
        <v>0</v>
      </c>
      <c r="F56" s="104">
        <v>0</v>
      </c>
      <c r="G56" s="104">
        <v>0</v>
      </c>
      <c r="H56" s="104">
        <v>0.09</v>
      </c>
      <c r="I56" s="104">
        <v>0</v>
      </c>
      <c r="J56" s="104">
        <v>0</v>
      </c>
      <c r="K56" s="104">
        <v>0</v>
      </c>
      <c r="L56" s="104">
        <v>0</v>
      </c>
      <c r="M56" s="104">
        <v>0.04</v>
      </c>
      <c r="N56" s="104">
        <v>0</v>
      </c>
      <c r="O56" s="104">
        <v>0</v>
      </c>
      <c r="P56" s="104">
        <v>0</v>
      </c>
      <c r="Q56" s="104">
        <v>0</v>
      </c>
      <c r="R56" s="104">
        <v>0</v>
      </c>
      <c r="S56" s="104">
        <v>0</v>
      </c>
      <c r="U56" s="43"/>
      <c r="V56" s="43"/>
      <c r="W56" s="44"/>
      <c r="X56" s="44"/>
      <c r="Y56" s="44"/>
      <c r="Z56" s="41"/>
      <c r="AA56" s="44"/>
      <c r="AB56" s="41"/>
      <c r="AC56" s="44"/>
      <c r="AD56" s="44"/>
      <c r="AE56" s="44"/>
      <c r="AF56" s="44"/>
      <c r="AG56" s="44"/>
      <c r="AH56" s="44"/>
    </row>
    <row r="57" spans="1:34" s="30" customFormat="1" ht="18.75" customHeight="1">
      <c r="A57" s="105" t="s">
        <v>140</v>
      </c>
      <c r="B57" s="108" t="s">
        <v>1798</v>
      </c>
      <c r="C57" s="80" t="s">
        <v>44</v>
      </c>
      <c r="D57" s="104">
        <f t="shared" si="12"/>
        <v>1.6460000000000001</v>
      </c>
      <c r="E57" s="104">
        <v>1.02</v>
      </c>
      <c r="F57" s="104">
        <v>0.442</v>
      </c>
      <c r="G57" s="104">
        <v>0</v>
      </c>
      <c r="H57" s="104">
        <v>7.400000000000001E-2</v>
      </c>
      <c r="I57" s="104">
        <v>0</v>
      </c>
      <c r="J57" s="104">
        <v>0</v>
      </c>
      <c r="K57" s="104">
        <v>7.0000000000000007E-2</v>
      </c>
      <c r="L57" s="104">
        <v>0</v>
      </c>
      <c r="M57" s="104">
        <v>0</v>
      </c>
      <c r="N57" s="104">
        <v>0.04</v>
      </c>
      <c r="O57" s="104">
        <v>0</v>
      </c>
      <c r="P57" s="104">
        <v>0</v>
      </c>
      <c r="Q57" s="104">
        <v>0</v>
      </c>
      <c r="R57" s="104">
        <v>0</v>
      </c>
      <c r="S57" s="104">
        <v>0</v>
      </c>
      <c r="U57" s="43"/>
      <c r="V57" s="43"/>
      <c r="W57" s="44"/>
      <c r="X57" s="44"/>
      <c r="Y57" s="44"/>
      <c r="Z57" s="41"/>
      <c r="AA57" s="44"/>
      <c r="AB57" s="41"/>
      <c r="AC57" s="44"/>
      <c r="AD57" s="44"/>
      <c r="AE57" s="44"/>
      <c r="AF57" s="44"/>
      <c r="AG57" s="44"/>
      <c r="AH57" s="44"/>
    </row>
    <row r="58" spans="1:34" s="30" customFormat="1" ht="18.75" customHeight="1">
      <c r="A58" s="105" t="s">
        <v>140</v>
      </c>
      <c r="B58" s="108" t="s">
        <v>1799</v>
      </c>
      <c r="C58" s="80" t="s">
        <v>45</v>
      </c>
      <c r="D58" s="104">
        <f t="shared" si="12"/>
        <v>0.67200000000000015</v>
      </c>
      <c r="E58" s="104">
        <v>0.1</v>
      </c>
      <c r="F58" s="104">
        <v>0</v>
      </c>
      <c r="G58" s="104">
        <v>0.15</v>
      </c>
      <c r="H58" s="104">
        <v>0</v>
      </c>
      <c r="I58" s="104">
        <v>0.01</v>
      </c>
      <c r="J58" s="104">
        <v>2.5999999999999999E-2</v>
      </c>
      <c r="K58" s="104">
        <v>0</v>
      </c>
      <c r="L58" s="104">
        <v>2.5999999999999999E-2</v>
      </c>
      <c r="M58" s="104">
        <v>0.04</v>
      </c>
      <c r="N58" s="104">
        <v>0.17599999999999999</v>
      </c>
      <c r="O58" s="104">
        <v>0.03</v>
      </c>
      <c r="P58" s="104">
        <v>0</v>
      </c>
      <c r="Q58" s="104">
        <v>0.03</v>
      </c>
      <c r="R58" s="104">
        <v>0.03</v>
      </c>
      <c r="S58" s="104">
        <v>5.4000000000000006E-2</v>
      </c>
      <c r="U58" s="43"/>
      <c r="V58" s="43"/>
      <c r="W58" s="44"/>
      <c r="X58" s="44"/>
      <c r="Y58" s="44"/>
      <c r="Z58" s="41"/>
      <c r="AA58" s="44"/>
      <c r="AB58" s="41"/>
      <c r="AC58" s="44"/>
      <c r="AD58" s="44"/>
      <c r="AE58" s="44"/>
      <c r="AF58" s="44"/>
      <c r="AG58" s="44"/>
      <c r="AH58" s="44"/>
    </row>
    <row r="59" spans="1:34" s="30" customFormat="1" ht="18.75" customHeight="1">
      <c r="A59" s="105" t="s">
        <v>140</v>
      </c>
      <c r="B59" s="108" t="s">
        <v>1800</v>
      </c>
      <c r="C59" s="80" t="s">
        <v>52</v>
      </c>
      <c r="D59" s="104">
        <f t="shared" si="12"/>
        <v>3.1280000000000001</v>
      </c>
      <c r="E59" s="104">
        <v>0.89400000000000002</v>
      </c>
      <c r="F59" s="104">
        <v>0.47399999999999998</v>
      </c>
      <c r="G59" s="104">
        <v>0</v>
      </c>
      <c r="H59" s="104">
        <v>0</v>
      </c>
      <c r="I59" s="104">
        <v>0</v>
      </c>
      <c r="J59" s="104">
        <v>0.14000000000000001</v>
      </c>
      <c r="K59" s="104">
        <v>0.02</v>
      </c>
      <c r="L59" s="104">
        <v>0</v>
      </c>
      <c r="M59" s="104">
        <v>7.0000000000000007E-2</v>
      </c>
      <c r="N59" s="104">
        <v>0</v>
      </c>
      <c r="O59" s="104">
        <v>0</v>
      </c>
      <c r="P59" s="104">
        <v>0.46</v>
      </c>
      <c r="Q59" s="104">
        <v>0.03</v>
      </c>
      <c r="R59" s="104">
        <v>1.04</v>
      </c>
      <c r="S59" s="104">
        <v>0</v>
      </c>
      <c r="U59" s="43"/>
      <c r="V59" s="43"/>
      <c r="W59" s="44"/>
      <c r="X59" s="44"/>
      <c r="Y59" s="44"/>
      <c r="Z59" s="41"/>
      <c r="AA59" s="44"/>
      <c r="AB59" s="41"/>
      <c r="AC59" s="44"/>
      <c r="AD59" s="44"/>
      <c r="AE59" s="44"/>
      <c r="AF59" s="44"/>
      <c r="AG59" s="44"/>
      <c r="AH59" s="44"/>
    </row>
    <row r="60" spans="1:34" s="30" customFormat="1" ht="18.75" customHeight="1">
      <c r="A60" s="105" t="s">
        <v>140</v>
      </c>
      <c r="B60" s="108" t="s">
        <v>1801</v>
      </c>
      <c r="C60" s="80" t="s">
        <v>101</v>
      </c>
      <c r="D60" s="104">
        <f t="shared" si="12"/>
        <v>36.262</v>
      </c>
      <c r="E60" s="104">
        <v>2.3199999999999998</v>
      </c>
      <c r="F60" s="104">
        <v>0.18</v>
      </c>
      <c r="G60" s="104">
        <v>0.36</v>
      </c>
      <c r="H60" s="104">
        <v>13.256</v>
      </c>
      <c r="I60" s="104">
        <v>0.1</v>
      </c>
      <c r="J60" s="104">
        <v>2.4160000000000004</v>
      </c>
      <c r="K60" s="104">
        <v>0.12</v>
      </c>
      <c r="L60" s="104">
        <v>0.22</v>
      </c>
      <c r="M60" s="104">
        <v>0.15</v>
      </c>
      <c r="N60" s="104">
        <v>0</v>
      </c>
      <c r="O60" s="104">
        <v>14.48</v>
      </c>
      <c r="P60" s="104">
        <v>1.98</v>
      </c>
      <c r="Q60" s="104">
        <v>0.21</v>
      </c>
      <c r="R60" s="104">
        <v>0.44</v>
      </c>
      <c r="S60" s="104">
        <v>0.03</v>
      </c>
      <c r="U60" s="43"/>
      <c r="V60" s="43"/>
      <c r="W60" s="44"/>
      <c r="X60" s="44"/>
      <c r="Y60" s="44"/>
      <c r="Z60" s="41"/>
      <c r="AA60" s="44"/>
      <c r="AB60" s="41"/>
      <c r="AC60" s="44"/>
      <c r="AD60" s="44"/>
      <c r="AE60" s="44"/>
      <c r="AF60" s="44"/>
      <c r="AG60" s="44"/>
      <c r="AH60" s="44"/>
    </row>
    <row r="61" spans="1:34" s="30" customFormat="1" ht="18.75" customHeight="1">
      <c r="A61" s="109" t="s">
        <v>69</v>
      </c>
      <c r="B61" s="108" t="s">
        <v>1802</v>
      </c>
      <c r="C61" s="80" t="s">
        <v>37</v>
      </c>
      <c r="D61" s="104">
        <f t="shared" si="12"/>
        <v>35.978000000000002</v>
      </c>
      <c r="E61" s="104">
        <v>5.55</v>
      </c>
      <c r="F61" s="104">
        <v>2.13</v>
      </c>
      <c r="G61" s="104">
        <v>2.89</v>
      </c>
      <c r="H61" s="104">
        <v>2.08</v>
      </c>
      <c r="I61" s="104">
        <v>1.1299999999999999</v>
      </c>
      <c r="J61" s="104">
        <v>1.07</v>
      </c>
      <c r="K61" s="104">
        <v>3.78</v>
      </c>
      <c r="L61" s="104">
        <v>2.9940000000000002</v>
      </c>
      <c r="M61" s="104">
        <v>3.12</v>
      </c>
      <c r="N61" s="104">
        <v>3.24</v>
      </c>
      <c r="O61" s="104">
        <v>1.96</v>
      </c>
      <c r="P61" s="104">
        <v>0.4</v>
      </c>
      <c r="Q61" s="104">
        <v>1.35</v>
      </c>
      <c r="R61" s="104">
        <v>1.96</v>
      </c>
      <c r="S61" s="104">
        <v>2.3239999999999998</v>
      </c>
      <c r="U61" s="43"/>
      <c r="V61" s="43"/>
      <c r="W61" s="44"/>
      <c r="X61" s="44"/>
      <c r="Y61" s="44"/>
      <c r="Z61" s="41"/>
      <c r="AA61" s="44"/>
      <c r="AB61" s="41"/>
      <c r="AC61" s="44"/>
      <c r="AD61" s="44"/>
      <c r="AE61" s="44"/>
      <c r="AF61" s="44"/>
      <c r="AG61" s="44"/>
      <c r="AH61" s="44"/>
    </row>
    <row r="62" spans="1:34" s="30" customFormat="1" ht="18.75" customHeight="1">
      <c r="A62" s="109" t="s">
        <v>70</v>
      </c>
      <c r="B62" s="108" t="s">
        <v>1803</v>
      </c>
      <c r="C62" s="80" t="s">
        <v>38</v>
      </c>
      <c r="D62" s="104">
        <f t="shared" si="12"/>
        <v>13.515000000000002</v>
      </c>
      <c r="E62" s="104">
        <v>3.48</v>
      </c>
      <c r="F62" s="104">
        <v>0.99</v>
      </c>
      <c r="G62" s="104">
        <v>0.75</v>
      </c>
      <c r="H62" s="104">
        <v>0.436</v>
      </c>
      <c r="I62" s="104">
        <v>0.71</v>
      </c>
      <c r="J62" s="104">
        <v>0.42</v>
      </c>
      <c r="K62" s="104">
        <v>0.93699999999999994</v>
      </c>
      <c r="L62" s="104">
        <v>1.1200000000000001</v>
      </c>
      <c r="M62" s="104">
        <v>0.8</v>
      </c>
      <c r="N62" s="104">
        <v>0.52</v>
      </c>
      <c r="O62" s="104">
        <v>0.99</v>
      </c>
      <c r="P62" s="104">
        <v>0.46</v>
      </c>
      <c r="Q62" s="104">
        <v>0.57999999999999996</v>
      </c>
      <c r="R62" s="104">
        <v>0.73599999999999999</v>
      </c>
      <c r="S62" s="104">
        <v>0.58599999999999997</v>
      </c>
      <c r="U62" s="43"/>
      <c r="V62" s="43"/>
      <c r="W62" s="44"/>
      <c r="X62" s="44"/>
      <c r="Y62" s="44"/>
      <c r="Z62" s="41"/>
      <c r="AA62" s="44"/>
      <c r="AB62" s="41"/>
      <c r="AC62" s="44"/>
      <c r="AD62" s="44"/>
      <c r="AE62" s="44"/>
      <c r="AF62" s="44"/>
      <c r="AG62" s="44"/>
      <c r="AH62" s="44"/>
    </row>
    <row r="63" spans="1:34" s="54" customFormat="1" ht="35" customHeight="1">
      <c r="A63" s="109" t="s">
        <v>74</v>
      </c>
      <c r="B63" s="82" t="s">
        <v>1804</v>
      </c>
      <c r="C63" s="105" t="s">
        <v>39</v>
      </c>
      <c r="D63" s="104">
        <f t="shared" si="12"/>
        <v>119.02200000000001</v>
      </c>
      <c r="E63" s="103">
        <v>19.456</v>
      </c>
      <c r="F63" s="103">
        <v>9.0359999999999996</v>
      </c>
      <c r="G63" s="103">
        <v>5.47</v>
      </c>
      <c r="H63" s="103">
        <v>2.04</v>
      </c>
      <c r="I63" s="103">
        <v>4.05</v>
      </c>
      <c r="J63" s="103">
        <v>3.27</v>
      </c>
      <c r="K63" s="103">
        <v>13.88</v>
      </c>
      <c r="L63" s="103">
        <v>5.54</v>
      </c>
      <c r="M63" s="103">
        <v>8.86</v>
      </c>
      <c r="N63" s="103">
        <v>9.84</v>
      </c>
      <c r="O63" s="103">
        <v>3.35</v>
      </c>
      <c r="P63" s="103">
        <v>16.22</v>
      </c>
      <c r="Q63" s="103">
        <v>4.92</v>
      </c>
      <c r="R63" s="107">
        <v>6.22</v>
      </c>
      <c r="S63" s="107">
        <v>6.87</v>
      </c>
      <c r="U63" s="55"/>
      <c r="V63" s="43"/>
      <c r="W63" s="56"/>
      <c r="X63" s="56"/>
      <c r="Y63" s="56"/>
      <c r="Z63" s="57"/>
      <c r="AA63" s="56"/>
      <c r="AB63" s="57"/>
      <c r="AC63" s="56"/>
      <c r="AD63" s="56"/>
      <c r="AE63" s="56"/>
      <c r="AF63" s="56"/>
      <c r="AG63" s="56"/>
      <c r="AH63" s="56"/>
    </row>
    <row r="64" spans="1:34" s="286" customFormat="1" ht="15.5">
      <c r="A64" s="109" t="s">
        <v>75</v>
      </c>
      <c r="B64" s="82" t="s">
        <v>76</v>
      </c>
      <c r="C64" s="105" t="s">
        <v>1856</v>
      </c>
      <c r="D64" s="104">
        <f t="shared" si="12"/>
        <v>2491.8869999999997</v>
      </c>
      <c r="E64" s="285">
        <v>215.49600000000001</v>
      </c>
      <c r="F64" s="285">
        <v>155.084</v>
      </c>
      <c r="G64" s="285">
        <v>108.73400000000001</v>
      </c>
      <c r="H64" s="285">
        <v>240.89000000000001</v>
      </c>
      <c r="I64" s="285">
        <v>134.95999999999998</v>
      </c>
      <c r="J64" s="285">
        <v>29.84</v>
      </c>
      <c r="K64" s="285">
        <v>50.54</v>
      </c>
      <c r="L64" s="285">
        <v>24.89</v>
      </c>
      <c r="M64" s="285">
        <v>251.56299999999999</v>
      </c>
      <c r="N64" s="285">
        <v>34.159999999999997</v>
      </c>
      <c r="O64" s="285">
        <v>23.209999999999997</v>
      </c>
      <c r="P64" s="285">
        <v>389.46</v>
      </c>
      <c r="Q64" s="285">
        <v>238.52</v>
      </c>
      <c r="R64" s="285">
        <v>570.07999999999993</v>
      </c>
      <c r="S64" s="285">
        <v>24.46</v>
      </c>
    </row>
    <row r="65" spans="1:43" s="291" customFormat="1" ht="15.5">
      <c r="A65" s="109" t="s">
        <v>80</v>
      </c>
      <c r="B65" s="82" t="s">
        <v>103</v>
      </c>
      <c r="C65" s="105" t="s">
        <v>53</v>
      </c>
      <c r="D65" s="104">
        <f t="shared" si="12"/>
        <v>0</v>
      </c>
      <c r="E65" s="288"/>
      <c r="F65" s="289"/>
      <c r="G65" s="290"/>
      <c r="H65" s="290"/>
      <c r="I65" s="290"/>
      <c r="J65" s="290"/>
      <c r="K65" s="290"/>
      <c r="L65" s="290"/>
      <c r="M65" s="290"/>
      <c r="N65" s="290"/>
      <c r="O65" s="290"/>
      <c r="P65" s="290"/>
      <c r="Q65" s="290"/>
      <c r="R65" s="290"/>
      <c r="S65" s="290"/>
      <c r="AQ65" s="283"/>
    </row>
    <row r="66" spans="1:43" s="284" customFormat="1" ht="15">
      <c r="A66" s="302">
        <v>3</v>
      </c>
      <c r="B66" s="81" t="s">
        <v>54</v>
      </c>
      <c r="C66" s="279" t="s">
        <v>79</v>
      </c>
      <c r="D66" s="102">
        <f>SUM(D67:D71)</f>
        <v>0</v>
      </c>
      <c r="E66" s="102">
        <f t="shared" ref="E66:S66" si="13">SUM(E67:E71)</f>
        <v>0</v>
      </c>
      <c r="F66" s="102">
        <f t="shared" si="13"/>
        <v>0</v>
      </c>
      <c r="G66" s="102">
        <f t="shared" si="13"/>
        <v>0</v>
      </c>
      <c r="H66" s="102">
        <f t="shared" si="13"/>
        <v>0</v>
      </c>
      <c r="I66" s="102">
        <f t="shared" si="13"/>
        <v>0</v>
      </c>
      <c r="J66" s="102">
        <f t="shared" si="13"/>
        <v>0</v>
      </c>
      <c r="K66" s="102">
        <f t="shared" si="13"/>
        <v>0</v>
      </c>
      <c r="L66" s="102">
        <f t="shared" si="13"/>
        <v>0</v>
      </c>
      <c r="M66" s="102">
        <f t="shared" si="13"/>
        <v>0</v>
      </c>
      <c r="N66" s="102">
        <f t="shared" si="13"/>
        <v>0</v>
      </c>
      <c r="O66" s="102">
        <f t="shared" si="13"/>
        <v>0</v>
      </c>
      <c r="P66" s="102">
        <f t="shared" si="13"/>
        <v>0</v>
      </c>
      <c r="Q66" s="102">
        <f t="shared" si="13"/>
        <v>0</v>
      </c>
      <c r="R66" s="102">
        <f t="shared" si="13"/>
        <v>0</v>
      </c>
      <c r="S66" s="102">
        <f t="shared" si="13"/>
        <v>0</v>
      </c>
      <c r="AQ66" s="301"/>
    </row>
    <row r="67" spans="1:43" s="286" customFormat="1" ht="31">
      <c r="A67" s="109" t="s">
        <v>1807</v>
      </c>
      <c r="B67" s="82" t="s">
        <v>1805</v>
      </c>
      <c r="C67" s="105" t="s">
        <v>1818</v>
      </c>
      <c r="D67" s="104">
        <f t="shared" ref="D67:D71" si="14">SUM(E67:S67)</f>
        <v>0</v>
      </c>
      <c r="E67" s="298"/>
      <c r="F67" s="299"/>
      <c r="G67" s="297"/>
      <c r="H67" s="297"/>
      <c r="I67" s="297"/>
      <c r="J67" s="297"/>
      <c r="K67" s="297"/>
      <c r="L67" s="297"/>
      <c r="M67" s="297"/>
      <c r="N67" s="297"/>
      <c r="O67" s="297"/>
      <c r="P67" s="297"/>
      <c r="Q67" s="297"/>
      <c r="R67" s="297"/>
      <c r="S67" s="297"/>
      <c r="T67" s="300"/>
      <c r="AQ67" s="283"/>
    </row>
    <row r="68" spans="1:43" s="293" customFormat="1" ht="19.5" customHeight="1">
      <c r="A68" s="109" t="s">
        <v>1808</v>
      </c>
      <c r="B68" s="82" t="s">
        <v>157</v>
      </c>
      <c r="C68" s="105" t="s">
        <v>158</v>
      </c>
      <c r="D68" s="104">
        <f t="shared" si="14"/>
        <v>0</v>
      </c>
      <c r="E68" s="294"/>
      <c r="F68" s="295"/>
      <c r="G68" s="292"/>
      <c r="H68" s="292"/>
      <c r="I68" s="292"/>
      <c r="J68" s="292"/>
      <c r="K68" s="292"/>
      <c r="L68" s="292"/>
      <c r="M68" s="292"/>
      <c r="N68" s="292"/>
      <c r="O68" s="292"/>
      <c r="P68" s="292"/>
      <c r="Q68" s="292"/>
      <c r="R68" s="292"/>
      <c r="S68" s="292"/>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c r="AQ68" s="283"/>
    </row>
    <row r="69" spans="1:43" s="293" customFormat="1" ht="15.5">
      <c r="A69" s="109" t="s">
        <v>1809</v>
      </c>
      <c r="B69" s="82" t="s">
        <v>159</v>
      </c>
      <c r="C69" s="105" t="s">
        <v>160</v>
      </c>
      <c r="D69" s="104">
        <f t="shared" si="14"/>
        <v>0</v>
      </c>
      <c r="E69" s="294"/>
      <c r="F69" s="295"/>
      <c r="G69" s="292"/>
      <c r="H69" s="292"/>
      <c r="I69" s="292"/>
      <c r="J69" s="292"/>
      <c r="K69" s="292"/>
      <c r="L69" s="292"/>
      <c r="M69" s="292"/>
      <c r="N69" s="292"/>
      <c r="O69" s="292"/>
      <c r="P69" s="292"/>
      <c r="Q69" s="292"/>
      <c r="R69" s="292"/>
      <c r="S69" s="292"/>
      <c r="T69" s="296"/>
      <c r="U69" s="296"/>
      <c r="V69" s="296"/>
      <c r="W69" s="296"/>
      <c r="X69" s="296"/>
      <c r="Y69" s="296"/>
      <c r="Z69" s="296"/>
      <c r="AA69" s="296"/>
      <c r="AB69" s="296"/>
      <c r="AC69" s="296"/>
      <c r="AD69" s="296"/>
      <c r="AE69" s="296"/>
      <c r="AF69" s="296"/>
      <c r="AG69" s="296"/>
      <c r="AH69" s="296"/>
      <c r="AI69" s="296"/>
      <c r="AJ69" s="296"/>
      <c r="AK69" s="296"/>
      <c r="AL69" s="296"/>
      <c r="AM69" s="296"/>
      <c r="AN69" s="296"/>
      <c r="AO69" s="296"/>
      <c r="AQ69" s="283"/>
    </row>
    <row r="70" spans="1:43" s="291" customFormat="1" ht="15.5">
      <c r="A70" s="109" t="s">
        <v>1810</v>
      </c>
      <c r="B70" s="82" t="s">
        <v>161</v>
      </c>
      <c r="C70" s="105" t="s">
        <v>162</v>
      </c>
      <c r="D70" s="104">
        <f t="shared" si="14"/>
        <v>0</v>
      </c>
      <c r="E70" s="294"/>
      <c r="F70" s="295"/>
      <c r="G70" s="287"/>
      <c r="H70" s="287"/>
      <c r="I70" s="287"/>
      <c r="J70" s="287"/>
      <c r="K70" s="287"/>
      <c r="L70" s="287"/>
      <c r="M70" s="287"/>
      <c r="N70" s="287"/>
      <c r="O70" s="287"/>
      <c r="P70" s="287"/>
      <c r="Q70" s="287"/>
      <c r="R70" s="287"/>
      <c r="S70" s="287"/>
      <c r="AQ70" s="283"/>
    </row>
    <row r="71" spans="1:43" s="293" customFormat="1" ht="15.5">
      <c r="A71" s="109" t="s">
        <v>1811</v>
      </c>
      <c r="B71" s="82" t="s">
        <v>1806</v>
      </c>
      <c r="C71" s="105" t="s">
        <v>1819</v>
      </c>
      <c r="D71" s="104">
        <f t="shared" si="14"/>
        <v>0</v>
      </c>
      <c r="E71" s="294"/>
      <c r="F71" s="295"/>
      <c r="G71" s="292"/>
      <c r="H71" s="292"/>
      <c r="I71" s="292"/>
      <c r="J71" s="292"/>
      <c r="K71" s="292"/>
      <c r="L71" s="292"/>
      <c r="M71" s="292"/>
      <c r="N71" s="292"/>
      <c r="O71" s="292"/>
      <c r="P71" s="292"/>
      <c r="Q71" s="292"/>
      <c r="R71" s="292"/>
      <c r="S71" s="292"/>
      <c r="AQ71" s="283"/>
    </row>
  </sheetData>
  <mergeCells count="10">
    <mergeCell ref="U2:U6"/>
    <mergeCell ref="V2:V6"/>
    <mergeCell ref="A2:S2"/>
    <mergeCell ref="A5:A6"/>
    <mergeCell ref="B5:B6"/>
    <mergeCell ref="C5:C6"/>
    <mergeCell ref="D5:D6"/>
    <mergeCell ref="A3:S3"/>
    <mergeCell ref="E5:S5"/>
    <mergeCell ref="A4:S4"/>
  </mergeCells>
  <printOptions horizontalCentered="1"/>
  <pageMargins left="0.15748031496062992" right="7.874015748031496E-2" top="0.23622047244094491" bottom="0.23622047244094491" header="7.874015748031496E-2" footer="7.874015748031496E-2"/>
  <pageSetup paperSize="8" scale="74"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92D050"/>
  </sheetPr>
  <dimension ref="A1:N72"/>
  <sheetViews>
    <sheetView view="pageBreakPreview" zoomScale="70" zoomScaleNormal="100" zoomScaleSheetLayoutView="70" workbookViewId="0">
      <pane ySplit="6" topLeftCell="A59" activePane="bottomLeft" state="frozen"/>
      <selection activeCell="AY84" sqref="AY84"/>
      <selection pane="bottomLeft" activeCell="I61" sqref="I61"/>
    </sheetView>
  </sheetViews>
  <sheetFormatPr defaultColWidth="9" defaultRowHeight="14"/>
  <cols>
    <col min="1" max="1" width="8.25" style="13" customWidth="1"/>
    <col min="2" max="2" width="56" style="13" customWidth="1"/>
    <col min="3" max="3" width="9.33203125" style="13" customWidth="1"/>
    <col min="4" max="4" width="14.08203125" style="18" customWidth="1"/>
    <col min="5" max="5" width="12.58203125" style="17" customWidth="1"/>
    <col min="6" max="6" width="12.58203125" style="126" customWidth="1"/>
    <col min="7" max="7" width="12.58203125" style="17" customWidth="1"/>
    <col min="8" max="16384" width="9" style="13"/>
  </cols>
  <sheetData>
    <row r="1" spans="1:9" ht="25.5" customHeight="1">
      <c r="A1" s="578" t="s">
        <v>148</v>
      </c>
      <c r="B1" s="578"/>
      <c r="C1" s="578"/>
      <c r="D1" s="578"/>
      <c r="E1" s="578"/>
      <c r="F1" s="578"/>
      <c r="G1" s="578"/>
    </row>
    <row r="2" spans="1:9" s="4" customFormat="1" ht="21" customHeight="1">
      <c r="A2" s="579" t="s">
        <v>211</v>
      </c>
      <c r="B2" s="571"/>
      <c r="C2" s="571"/>
      <c r="D2" s="571"/>
      <c r="E2" s="571"/>
      <c r="F2" s="571"/>
      <c r="G2" s="571"/>
    </row>
    <row r="3" spans="1:9" s="4" customFormat="1" ht="21" customHeight="1">
      <c r="A3" s="580" t="s">
        <v>214</v>
      </c>
      <c r="B3" s="580"/>
      <c r="C3" s="580"/>
      <c r="D3" s="580"/>
      <c r="E3" s="580"/>
      <c r="F3" s="580"/>
      <c r="G3" s="580"/>
    </row>
    <row r="4" spans="1:9" s="12" customFormat="1" ht="21" customHeight="1">
      <c r="A4" s="572" t="s">
        <v>1</v>
      </c>
      <c r="B4" s="572" t="s">
        <v>151</v>
      </c>
      <c r="C4" s="572" t="s">
        <v>134</v>
      </c>
      <c r="D4" s="581" t="s">
        <v>212</v>
      </c>
      <c r="E4" s="582" t="s">
        <v>1775</v>
      </c>
      <c r="F4" s="582"/>
      <c r="G4" s="582"/>
    </row>
    <row r="5" spans="1:9" s="12" customFormat="1" ht="19.5" customHeight="1">
      <c r="A5" s="572"/>
      <c r="B5" s="572"/>
      <c r="C5" s="572"/>
      <c r="D5" s="581"/>
      <c r="E5" s="581" t="s">
        <v>139</v>
      </c>
      <c r="F5" s="582" t="s">
        <v>125</v>
      </c>
      <c r="G5" s="582"/>
    </row>
    <row r="6" spans="1:9" s="12" customFormat="1" ht="52.5" customHeight="1">
      <c r="A6" s="572"/>
      <c r="B6" s="572"/>
      <c r="C6" s="572"/>
      <c r="D6" s="581"/>
      <c r="E6" s="581"/>
      <c r="F6" s="316" t="s">
        <v>208</v>
      </c>
      <c r="G6" s="317" t="s">
        <v>147</v>
      </c>
    </row>
    <row r="7" spans="1:9" s="29" customFormat="1" ht="27" hidden="1" customHeight="1">
      <c r="A7" s="114" t="s">
        <v>178</v>
      </c>
      <c r="B7" s="318" t="e">
        <v>#REF!</v>
      </c>
      <c r="C7" s="114" t="s">
        <v>180</v>
      </c>
      <c r="D7" s="115" t="s">
        <v>199</v>
      </c>
      <c r="E7" s="319" t="s">
        <v>181</v>
      </c>
      <c r="F7" s="320" t="s">
        <v>200</v>
      </c>
      <c r="G7" s="115" t="s">
        <v>201</v>
      </c>
    </row>
    <row r="8" spans="1:9" s="12" customFormat="1" ht="21.75" customHeight="1">
      <c r="A8" s="279"/>
      <c r="B8" s="101" t="s">
        <v>137</v>
      </c>
      <c r="C8" s="279"/>
      <c r="D8" s="321">
        <v>21510.165000000001</v>
      </c>
      <c r="E8" s="321">
        <f>E9+E24+E67</f>
        <v>21510.165000000001</v>
      </c>
      <c r="F8" s="315">
        <f>E8-D8</f>
        <v>0</v>
      </c>
      <c r="G8" s="324">
        <f>E8/D8*100</f>
        <v>100</v>
      </c>
    </row>
    <row r="9" spans="1:9" s="51" customFormat="1" ht="21.75" customHeight="1">
      <c r="A9" s="279">
        <v>1</v>
      </c>
      <c r="B9" s="81" t="s">
        <v>3</v>
      </c>
      <c r="C9" s="279" t="s">
        <v>4</v>
      </c>
      <c r="D9" s="321">
        <v>9178.43</v>
      </c>
      <c r="E9" s="321">
        <f>E11+SUM(E14:E18)+SUM(E20:E23)</f>
        <v>13048.259799999998</v>
      </c>
      <c r="F9" s="315">
        <f t="shared" ref="F9:F65" si="0">E9-D9</f>
        <v>3869.8297999999977</v>
      </c>
      <c r="G9" s="324">
        <f t="shared" ref="G9:G65" si="1">E9/D9*100</f>
        <v>142.16221946454891</v>
      </c>
      <c r="H9" s="52"/>
      <c r="I9" s="53"/>
    </row>
    <row r="10" spans="1:9" ht="21.75" customHeight="1">
      <c r="A10" s="279"/>
      <c r="B10" s="96" t="s">
        <v>176</v>
      </c>
      <c r="C10" s="279"/>
      <c r="D10" s="323">
        <v>0</v>
      </c>
      <c r="E10" s="323">
        <v>0</v>
      </c>
      <c r="F10" s="322">
        <f t="shared" si="0"/>
        <v>0</v>
      </c>
      <c r="G10" s="323">
        <v>0</v>
      </c>
    </row>
    <row r="11" spans="1:9" ht="21.75" customHeight="1">
      <c r="A11" s="105" t="s">
        <v>6</v>
      </c>
      <c r="B11" s="82" t="s">
        <v>81</v>
      </c>
      <c r="C11" s="105" t="s">
        <v>5</v>
      </c>
      <c r="D11" s="322">
        <v>4637.76</v>
      </c>
      <c r="E11" s="322">
        <f>E12+E13</f>
        <v>5482.4019999999982</v>
      </c>
      <c r="F11" s="322">
        <f t="shared" si="0"/>
        <v>844.64199999999801</v>
      </c>
      <c r="G11" s="324">
        <f t="shared" si="1"/>
        <v>118.21228351618018</v>
      </c>
    </row>
    <row r="12" spans="1:9" s="14" customFormat="1" ht="21.75" customHeight="1">
      <c r="A12" s="105"/>
      <c r="B12" s="82" t="s">
        <v>1778</v>
      </c>
      <c r="C12" s="105" t="s">
        <v>7</v>
      </c>
      <c r="D12" s="322">
        <v>4400.8500000000004</v>
      </c>
      <c r="E12" s="322">
        <v>4865.6354999999985</v>
      </c>
      <c r="F12" s="322">
        <f t="shared" si="0"/>
        <v>464.78549999999814</v>
      </c>
      <c r="G12" s="324">
        <f t="shared" si="1"/>
        <v>110.56126657350281</v>
      </c>
    </row>
    <row r="13" spans="1:9" s="14" customFormat="1" ht="21.75" customHeight="1">
      <c r="A13" s="105"/>
      <c r="B13" s="82" t="s">
        <v>1779</v>
      </c>
      <c r="C13" s="105" t="s">
        <v>8</v>
      </c>
      <c r="D13" s="323">
        <v>0</v>
      </c>
      <c r="E13" s="322">
        <v>616.76649999999995</v>
      </c>
      <c r="F13" s="322">
        <f t="shared" si="0"/>
        <v>616.76649999999995</v>
      </c>
      <c r="G13" s="323">
        <v>0</v>
      </c>
    </row>
    <row r="14" spans="1:9" s="14" customFormat="1" ht="21.75" customHeight="1">
      <c r="A14" s="105" t="s">
        <v>9</v>
      </c>
      <c r="B14" s="82" t="s">
        <v>1780</v>
      </c>
      <c r="C14" s="105" t="s">
        <v>11</v>
      </c>
      <c r="D14" s="322">
        <v>1539.09</v>
      </c>
      <c r="E14" s="322">
        <v>1746.8257999999998</v>
      </c>
      <c r="F14" s="322">
        <f t="shared" si="0"/>
        <v>207.73579999999993</v>
      </c>
      <c r="G14" s="324">
        <f t="shared" si="1"/>
        <v>113.49731334749755</v>
      </c>
    </row>
    <row r="15" spans="1:9" ht="21.75" customHeight="1">
      <c r="A15" s="105" t="s">
        <v>10</v>
      </c>
      <c r="B15" s="82" t="s">
        <v>59</v>
      </c>
      <c r="C15" s="105" t="s">
        <v>13</v>
      </c>
      <c r="D15" s="322">
        <v>742.46</v>
      </c>
      <c r="E15" s="322">
        <v>1171.1469999999999</v>
      </c>
      <c r="F15" s="322">
        <f t="shared" si="0"/>
        <v>428.6869999999999</v>
      </c>
      <c r="G15" s="324">
        <f t="shared" si="1"/>
        <v>157.73873339977908</v>
      </c>
    </row>
    <row r="16" spans="1:9" s="14" customFormat="1" ht="21.75" customHeight="1">
      <c r="A16" s="105" t="s">
        <v>12</v>
      </c>
      <c r="B16" s="82" t="s">
        <v>60</v>
      </c>
      <c r="C16" s="105" t="s">
        <v>15</v>
      </c>
      <c r="D16" s="323">
        <v>0</v>
      </c>
      <c r="E16" s="323">
        <v>0</v>
      </c>
      <c r="F16" s="322">
        <f t="shared" si="0"/>
        <v>0</v>
      </c>
      <c r="G16" s="323">
        <v>0</v>
      </c>
    </row>
    <row r="17" spans="1:7" s="14" customFormat="1" ht="21.75" customHeight="1">
      <c r="A17" s="105" t="s">
        <v>14</v>
      </c>
      <c r="B17" s="82" t="s">
        <v>61</v>
      </c>
      <c r="C17" s="105" t="s">
        <v>16</v>
      </c>
      <c r="D17" s="323">
        <v>0</v>
      </c>
      <c r="E17" s="323">
        <v>0</v>
      </c>
      <c r="F17" s="322">
        <f t="shared" si="0"/>
        <v>0</v>
      </c>
      <c r="G17" s="323">
        <v>0</v>
      </c>
    </row>
    <row r="18" spans="1:7" ht="21.75" customHeight="1">
      <c r="A18" s="105" t="s">
        <v>63</v>
      </c>
      <c r="B18" s="82" t="s">
        <v>62</v>
      </c>
      <c r="C18" s="105" t="s">
        <v>17</v>
      </c>
      <c r="D18" s="323">
        <v>0</v>
      </c>
      <c r="E18" s="322">
        <f>E19</f>
        <v>0</v>
      </c>
      <c r="F18" s="322">
        <f t="shared" si="0"/>
        <v>0</v>
      </c>
      <c r="G18" s="323">
        <v>0</v>
      </c>
    </row>
    <row r="19" spans="1:7" ht="21.75" customHeight="1">
      <c r="A19" s="106"/>
      <c r="B19" s="96" t="s">
        <v>177</v>
      </c>
      <c r="C19" s="106" t="s">
        <v>163</v>
      </c>
      <c r="D19" s="323">
        <v>0</v>
      </c>
      <c r="E19" s="323">
        <v>0</v>
      </c>
      <c r="F19" s="322">
        <f t="shared" si="0"/>
        <v>0</v>
      </c>
      <c r="G19" s="323">
        <v>0</v>
      </c>
    </row>
    <row r="20" spans="1:7" s="14" customFormat="1" ht="21.75" customHeight="1">
      <c r="A20" s="105" t="s">
        <v>72</v>
      </c>
      <c r="B20" s="82" t="s">
        <v>71</v>
      </c>
      <c r="C20" s="105" t="s">
        <v>18</v>
      </c>
      <c r="D20" s="322">
        <v>2230.8200000000002</v>
      </c>
      <c r="E20" s="322">
        <v>4619.2620000000006</v>
      </c>
      <c r="F20" s="322">
        <f t="shared" si="0"/>
        <v>2388.4420000000005</v>
      </c>
      <c r="G20" s="324">
        <f t="shared" si="1"/>
        <v>207.06565298858717</v>
      </c>
    </row>
    <row r="21" spans="1:7" s="14" customFormat="1" ht="21.75" customHeight="1">
      <c r="A21" s="105" t="s">
        <v>82</v>
      </c>
      <c r="B21" s="82" t="s">
        <v>1782</v>
      </c>
      <c r="C21" s="105" t="s">
        <v>1783</v>
      </c>
      <c r="D21" s="323">
        <v>0</v>
      </c>
      <c r="E21" s="323">
        <v>0</v>
      </c>
      <c r="F21" s="323">
        <v>0</v>
      </c>
      <c r="G21" s="323">
        <v>0</v>
      </c>
    </row>
    <row r="22" spans="1:7" s="14" customFormat="1" ht="21.75" customHeight="1">
      <c r="A22" s="105" t="s">
        <v>85</v>
      </c>
      <c r="B22" s="82" t="s">
        <v>73</v>
      </c>
      <c r="C22" s="105" t="s">
        <v>19</v>
      </c>
      <c r="D22" s="323">
        <v>0</v>
      </c>
      <c r="E22" s="323">
        <v>0</v>
      </c>
      <c r="F22" s="323">
        <v>0</v>
      </c>
      <c r="G22" s="323">
        <v>0</v>
      </c>
    </row>
    <row r="23" spans="1:7" ht="21.75" customHeight="1">
      <c r="A23" s="105" t="s">
        <v>1781</v>
      </c>
      <c r="B23" s="82" t="s">
        <v>84</v>
      </c>
      <c r="C23" s="105" t="s">
        <v>20</v>
      </c>
      <c r="D23" s="322">
        <v>28.31</v>
      </c>
      <c r="E23" s="322">
        <v>28.623000000000001</v>
      </c>
      <c r="F23" s="322">
        <f t="shared" si="0"/>
        <v>0.31300000000000239</v>
      </c>
      <c r="G23" s="324">
        <f t="shared" si="1"/>
        <v>101.10561638996822</v>
      </c>
    </row>
    <row r="24" spans="1:7" ht="21.75" customHeight="1">
      <c r="A24" s="279">
        <v>2</v>
      </c>
      <c r="B24" s="81" t="s">
        <v>21</v>
      </c>
      <c r="C24" s="279" t="s">
        <v>22</v>
      </c>
      <c r="D24" s="314">
        <v>12331.74</v>
      </c>
      <c r="E24" s="314">
        <f>SUM(E26:E31)+E43+E50+SUM(E62:E66)</f>
        <v>8461.9052000000011</v>
      </c>
      <c r="F24" s="326">
        <f t="shared" si="0"/>
        <v>-3869.8347999999987</v>
      </c>
      <c r="G24" s="324">
        <f t="shared" si="1"/>
        <v>68.618906983118364</v>
      </c>
    </row>
    <row r="25" spans="1:7" ht="21.75" customHeight="1">
      <c r="A25" s="279"/>
      <c r="B25" s="96" t="s">
        <v>176</v>
      </c>
      <c r="C25" s="279"/>
      <c r="D25" s="323">
        <v>0</v>
      </c>
      <c r="E25" s="323">
        <v>0</v>
      </c>
      <c r="F25" s="323">
        <v>0</v>
      </c>
      <c r="G25" s="323">
        <v>0</v>
      </c>
    </row>
    <row r="26" spans="1:7" s="51" customFormat="1" ht="21.75" customHeight="1">
      <c r="A26" s="105" t="s">
        <v>23</v>
      </c>
      <c r="B26" s="82" t="s">
        <v>95</v>
      </c>
      <c r="C26" s="105" t="s">
        <v>56</v>
      </c>
      <c r="D26" s="322">
        <v>5380.46</v>
      </c>
      <c r="E26" s="322">
        <v>3207.9639999999999</v>
      </c>
      <c r="F26" s="325">
        <f t="shared" si="0"/>
        <v>-2172.4960000000001</v>
      </c>
      <c r="G26" s="324">
        <f t="shared" si="1"/>
        <v>59.622485809763482</v>
      </c>
    </row>
    <row r="27" spans="1:7" s="14" customFormat="1" ht="21.75" customHeight="1">
      <c r="A27" s="105" t="s">
        <v>25</v>
      </c>
      <c r="B27" s="82" t="s">
        <v>96</v>
      </c>
      <c r="C27" s="105" t="s">
        <v>55</v>
      </c>
      <c r="D27" s="322">
        <v>611.83000000000004</v>
      </c>
      <c r="E27" s="322">
        <v>470.9131999999999</v>
      </c>
      <c r="F27" s="325">
        <f t="shared" si="0"/>
        <v>-140.91680000000014</v>
      </c>
      <c r="G27" s="324">
        <f t="shared" si="1"/>
        <v>76.967981301995636</v>
      </c>
    </row>
    <row r="28" spans="1:7" ht="21.75" customHeight="1">
      <c r="A28" s="105" t="s">
        <v>27</v>
      </c>
      <c r="B28" s="82" t="s">
        <v>90</v>
      </c>
      <c r="C28" s="105" t="s">
        <v>24</v>
      </c>
      <c r="D28" s="322">
        <f>15.03+0.02</f>
        <v>15.049999999999999</v>
      </c>
      <c r="E28" s="322">
        <f>14.717+0.02</f>
        <v>14.737</v>
      </c>
      <c r="F28" s="325">
        <f t="shared" si="0"/>
        <v>-0.31299999999999883</v>
      </c>
      <c r="G28" s="324">
        <f t="shared" si="1"/>
        <v>97.920265780730915</v>
      </c>
    </row>
    <row r="29" spans="1:7" ht="21.75" customHeight="1">
      <c r="A29" s="105" t="s">
        <v>29</v>
      </c>
      <c r="B29" s="82" t="s">
        <v>64</v>
      </c>
      <c r="C29" s="105" t="s">
        <v>26</v>
      </c>
      <c r="D29" s="322">
        <v>7.32</v>
      </c>
      <c r="E29" s="322">
        <v>1.05</v>
      </c>
      <c r="F29" s="325">
        <f t="shared" si="0"/>
        <v>-6.2700000000000005</v>
      </c>
      <c r="G29" s="324">
        <f t="shared" si="1"/>
        <v>14.344262295081966</v>
      </c>
    </row>
    <row r="30" spans="1:7" ht="21.75" customHeight="1">
      <c r="A30" s="105" t="s">
        <v>31</v>
      </c>
      <c r="B30" s="82" t="s">
        <v>65</v>
      </c>
      <c r="C30" s="105" t="s">
        <v>28</v>
      </c>
      <c r="D30" s="322">
        <v>5.34</v>
      </c>
      <c r="E30" s="322">
        <v>1.754</v>
      </c>
      <c r="F30" s="325">
        <f t="shared" si="0"/>
        <v>-3.5859999999999999</v>
      </c>
      <c r="G30" s="324">
        <f t="shared" si="1"/>
        <v>32.846441947565545</v>
      </c>
    </row>
    <row r="31" spans="1:7" s="14" customFormat="1" ht="21.75" customHeight="1">
      <c r="A31" s="105" t="s">
        <v>33</v>
      </c>
      <c r="B31" s="82" t="s">
        <v>1784</v>
      </c>
      <c r="C31" s="105" t="s">
        <v>154</v>
      </c>
      <c r="D31" s="323">
        <v>0</v>
      </c>
      <c r="E31" s="318">
        <f>SUM(E33:E42)</f>
        <v>97.384</v>
      </c>
      <c r="F31" s="325">
        <f>D31-E31</f>
        <v>-97.384</v>
      </c>
      <c r="G31" s="323">
        <v>0</v>
      </c>
    </row>
    <row r="32" spans="1:7" ht="21.75" customHeight="1">
      <c r="A32" s="105"/>
      <c r="B32" s="82" t="s">
        <v>176</v>
      </c>
      <c r="C32" s="105"/>
      <c r="D32" s="323">
        <v>0</v>
      </c>
      <c r="E32" s="323">
        <v>0</v>
      </c>
      <c r="F32" s="323">
        <v>0</v>
      </c>
      <c r="G32" s="323">
        <v>0</v>
      </c>
    </row>
    <row r="33" spans="1:8" ht="21.75" customHeight="1">
      <c r="A33" s="105" t="s">
        <v>140</v>
      </c>
      <c r="B33" s="108" t="s">
        <v>109</v>
      </c>
      <c r="C33" s="80" t="s">
        <v>46</v>
      </c>
      <c r="D33" s="322">
        <v>9.2899999999999991</v>
      </c>
      <c r="E33" s="322">
        <v>4.0259999999999998</v>
      </c>
      <c r="F33" s="325">
        <f t="shared" si="0"/>
        <v>-5.2639999999999993</v>
      </c>
      <c r="G33" s="324">
        <f t="shared" si="1"/>
        <v>43.336921420882675</v>
      </c>
    </row>
    <row r="34" spans="1:8" s="14" customFormat="1" ht="21.75" customHeight="1">
      <c r="A34" s="105" t="s">
        <v>140</v>
      </c>
      <c r="B34" s="82" t="s">
        <v>1785</v>
      </c>
      <c r="C34" s="105" t="s">
        <v>51</v>
      </c>
      <c r="D34" s="322">
        <v>0.48</v>
      </c>
      <c r="E34" s="322">
        <v>0.18</v>
      </c>
      <c r="F34" s="325">
        <f t="shared" si="0"/>
        <v>-0.3</v>
      </c>
      <c r="G34" s="324">
        <f t="shared" si="1"/>
        <v>37.5</v>
      </c>
    </row>
    <row r="35" spans="1:8" s="14" customFormat="1" ht="21.75" customHeight="1">
      <c r="A35" s="105" t="s">
        <v>140</v>
      </c>
      <c r="B35" s="82" t="s">
        <v>111</v>
      </c>
      <c r="C35" s="105" t="s">
        <v>47</v>
      </c>
      <c r="D35" s="322">
        <v>8.84</v>
      </c>
      <c r="E35" s="322">
        <v>7.450000000000002</v>
      </c>
      <c r="F35" s="325">
        <f t="shared" si="0"/>
        <v>-1.3899999999999979</v>
      </c>
      <c r="G35" s="324">
        <f t="shared" si="1"/>
        <v>84.276018099547528</v>
      </c>
    </row>
    <row r="36" spans="1:8" ht="20.25" customHeight="1">
      <c r="A36" s="105" t="s">
        <v>140</v>
      </c>
      <c r="B36" s="82" t="s">
        <v>166</v>
      </c>
      <c r="C36" s="105" t="s">
        <v>48</v>
      </c>
      <c r="D36" s="322">
        <v>75.400000000000006</v>
      </c>
      <c r="E36" s="322">
        <v>75.915999999999997</v>
      </c>
      <c r="F36" s="322">
        <f t="shared" si="0"/>
        <v>0.51599999999999113</v>
      </c>
      <c r="G36" s="324">
        <f t="shared" si="1"/>
        <v>100.68435013262598</v>
      </c>
    </row>
    <row r="37" spans="1:8" s="14" customFormat="1" ht="21.75" customHeight="1">
      <c r="A37" s="105" t="s">
        <v>140</v>
      </c>
      <c r="B37" s="82" t="s">
        <v>1786</v>
      </c>
      <c r="C37" s="105" t="s">
        <v>49</v>
      </c>
      <c r="D37" s="322">
        <v>10.210000000000001</v>
      </c>
      <c r="E37" s="322">
        <v>9.8119999999999994</v>
      </c>
      <c r="F37" s="325">
        <f t="shared" si="0"/>
        <v>-0.39800000000000146</v>
      </c>
      <c r="G37" s="324">
        <f t="shared" si="1"/>
        <v>96.101860920665999</v>
      </c>
    </row>
    <row r="38" spans="1:8" ht="21.75" customHeight="1">
      <c r="A38" s="105" t="s">
        <v>140</v>
      </c>
      <c r="B38" s="82" t="s">
        <v>113</v>
      </c>
      <c r="C38" s="105" t="s">
        <v>50</v>
      </c>
      <c r="D38" s="323">
        <v>0</v>
      </c>
      <c r="E38" s="323">
        <v>0</v>
      </c>
      <c r="F38" s="323">
        <v>0</v>
      </c>
      <c r="G38" s="323">
        <v>0</v>
      </c>
    </row>
    <row r="39" spans="1:8" ht="21.75" customHeight="1">
      <c r="A39" s="105" t="s">
        <v>140</v>
      </c>
      <c r="B39" s="82" t="s">
        <v>1787</v>
      </c>
      <c r="C39" s="105" t="s">
        <v>1812</v>
      </c>
      <c r="D39" s="323">
        <v>0</v>
      </c>
      <c r="E39" s="323">
        <v>0</v>
      </c>
      <c r="F39" s="323">
        <v>0</v>
      </c>
      <c r="G39" s="323">
        <v>0</v>
      </c>
    </row>
    <row r="40" spans="1:8" s="14" customFormat="1" ht="21.75" customHeight="1">
      <c r="A40" s="105" t="s">
        <v>140</v>
      </c>
      <c r="B40" s="82" t="s">
        <v>1788</v>
      </c>
      <c r="C40" s="105" t="s">
        <v>1813</v>
      </c>
      <c r="D40" s="323">
        <v>0</v>
      </c>
      <c r="E40" s="323">
        <v>0</v>
      </c>
      <c r="F40" s="323">
        <v>0</v>
      </c>
      <c r="G40" s="323">
        <v>0</v>
      </c>
    </row>
    <row r="41" spans="1:8" s="14" customFormat="1" ht="21.75" customHeight="1">
      <c r="A41" s="105" t="s">
        <v>140</v>
      </c>
      <c r="B41" s="82" t="s">
        <v>97</v>
      </c>
      <c r="C41" s="105" t="s">
        <v>98</v>
      </c>
      <c r="D41" s="323">
        <v>0</v>
      </c>
      <c r="E41" s="323">
        <v>0</v>
      </c>
      <c r="F41" s="323">
        <v>0</v>
      </c>
      <c r="G41" s="323">
        <v>0</v>
      </c>
    </row>
    <row r="42" spans="1:8" ht="21.75" customHeight="1">
      <c r="A42" s="105" t="s">
        <v>140</v>
      </c>
      <c r="B42" s="82" t="s">
        <v>114</v>
      </c>
      <c r="C42" s="105" t="s">
        <v>116</v>
      </c>
      <c r="D42" s="323">
        <v>0</v>
      </c>
      <c r="E42" s="323">
        <v>0</v>
      </c>
      <c r="F42" s="323">
        <v>0</v>
      </c>
      <c r="G42" s="323">
        <v>0</v>
      </c>
    </row>
    <row r="43" spans="1:8" ht="21.75" customHeight="1">
      <c r="A43" s="105" t="s">
        <v>67</v>
      </c>
      <c r="B43" s="82" t="s">
        <v>1789</v>
      </c>
      <c r="C43" s="105" t="s">
        <v>155</v>
      </c>
      <c r="D43" s="322">
        <f>SUM(D44:D49)</f>
        <v>2675.43</v>
      </c>
      <c r="E43" s="322">
        <f>SUM(E44:E49)</f>
        <v>1167.5740000000001</v>
      </c>
      <c r="F43" s="325">
        <f t="shared" si="0"/>
        <v>-1507.8559999999998</v>
      </c>
      <c r="G43" s="324">
        <f t="shared" si="1"/>
        <v>43.640611041963354</v>
      </c>
    </row>
    <row r="44" spans="1:8" s="14" customFormat="1" ht="21.75" customHeight="1">
      <c r="A44" s="105" t="s">
        <v>140</v>
      </c>
      <c r="B44" s="82" t="s">
        <v>66</v>
      </c>
      <c r="C44" s="105" t="s">
        <v>30</v>
      </c>
      <c r="D44" s="322">
        <v>1910.78</v>
      </c>
      <c r="E44" s="322">
        <v>878.40600000000006</v>
      </c>
      <c r="F44" s="325">
        <f t="shared" si="0"/>
        <v>-1032.3739999999998</v>
      </c>
      <c r="G44" s="324">
        <f t="shared" si="1"/>
        <v>45.971069406211079</v>
      </c>
      <c r="H44" s="150"/>
    </row>
    <row r="45" spans="1:8" s="14" customFormat="1" ht="21.75" customHeight="1">
      <c r="A45" s="105" t="s">
        <v>140</v>
      </c>
      <c r="B45" s="82" t="s">
        <v>86</v>
      </c>
      <c r="C45" s="105" t="s">
        <v>87</v>
      </c>
      <c r="D45" s="322">
        <v>463.16</v>
      </c>
      <c r="E45" s="322">
        <v>127.41399999999999</v>
      </c>
      <c r="F45" s="325">
        <f t="shared" si="0"/>
        <v>-335.74600000000004</v>
      </c>
      <c r="G45" s="324">
        <f t="shared" si="1"/>
        <v>27.50971586492788</v>
      </c>
    </row>
    <row r="46" spans="1:8" s="14" customFormat="1" ht="21.75" customHeight="1">
      <c r="A46" s="105" t="s">
        <v>140</v>
      </c>
      <c r="B46" s="82" t="s">
        <v>1790</v>
      </c>
      <c r="C46" s="105" t="s">
        <v>1814</v>
      </c>
      <c r="D46" s="323">
        <v>0</v>
      </c>
      <c r="E46" s="323">
        <v>0</v>
      </c>
      <c r="F46" s="323">
        <v>0</v>
      </c>
      <c r="G46" s="323">
        <v>0</v>
      </c>
    </row>
    <row r="47" spans="1:8" ht="21.75" customHeight="1">
      <c r="A47" s="105" t="s">
        <v>140</v>
      </c>
      <c r="B47" s="108" t="s">
        <v>204</v>
      </c>
      <c r="C47" s="80" t="s">
        <v>88</v>
      </c>
      <c r="D47" s="322">
        <v>189.58</v>
      </c>
      <c r="E47" s="322">
        <v>29.403999999999996</v>
      </c>
      <c r="F47" s="322">
        <f t="shared" si="0"/>
        <v>-160.17600000000002</v>
      </c>
      <c r="G47" s="324">
        <f t="shared" si="1"/>
        <v>15.510074902415862</v>
      </c>
    </row>
    <row r="48" spans="1:8" ht="21.75" customHeight="1">
      <c r="A48" s="105" t="s">
        <v>140</v>
      </c>
      <c r="B48" s="108" t="s">
        <v>89</v>
      </c>
      <c r="C48" s="80" t="s">
        <v>32</v>
      </c>
      <c r="D48" s="322">
        <v>111.91</v>
      </c>
      <c r="E48" s="322">
        <v>132.35</v>
      </c>
      <c r="F48" s="322">
        <f t="shared" si="0"/>
        <v>20.439999999999998</v>
      </c>
      <c r="G48" s="324">
        <f t="shared" si="1"/>
        <v>118.26467697256724</v>
      </c>
    </row>
    <row r="49" spans="1:7" ht="21.75" customHeight="1">
      <c r="A49" s="105" t="s">
        <v>140</v>
      </c>
      <c r="B49" s="82" t="s">
        <v>94</v>
      </c>
      <c r="C49" s="105" t="s">
        <v>34</v>
      </c>
      <c r="D49" s="323">
        <v>0</v>
      </c>
      <c r="E49" s="323">
        <v>0</v>
      </c>
      <c r="F49" s="323">
        <v>0</v>
      </c>
      <c r="G49" s="323">
        <v>0</v>
      </c>
    </row>
    <row r="50" spans="1:7" ht="21.75" customHeight="1">
      <c r="A50" s="105" t="s">
        <v>68</v>
      </c>
      <c r="B50" s="82" t="s">
        <v>1791</v>
      </c>
      <c r="C50" s="105" t="s">
        <v>156</v>
      </c>
      <c r="D50" s="322">
        <f>SUM(D52:D61)</f>
        <v>1146.8399999999999</v>
      </c>
      <c r="E50" s="322">
        <f>SUM(E52:E61)</f>
        <v>840.12699999999995</v>
      </c>
      <c r="F50" s="325">
        <f t="shared" si="0"/>
        <v>-306.71299999999997</v>
      </c>
      <c r="G50" s="324">
        <f t="shared" si="1"/>
        <v>73.255815981305147</v>
      </c>
    </row>
    <row r="51" spans="1:7" ht="21.75" customHeight="1">
      <c r="A51" s="105"/>
      <c r="B51" s="82" t="s">
        <v>176</v>
      </c>
      <c r="C51" s="105"/>
      <c r="D51" s="323">
        <v>0</v>
      </c>
      <c r="E51" s="323">
        <v>0</v>
      </c>
      <c r="F51" s="323">
        <v>0</v>
      </c>
      <c r="G51" s="323">
        <v>0</v>
      </c>
    </row>
    <row r="52" spans="1:7" ht="21.75" customHeight="1">
      <c r="A52" s="105" t="s">
        <v>140</v>
      </c>
      <c r="B52" s="82" t="s">
        <v>1792</v>
      </c>
      <c r="C52" s="105" t="s">
        <v>42</v>
      </c>
      <c r="D52" s="322">
        <v>993.93</v>
      </c>
      <c r="E52" s="322">
        <v>796.83600000000001</v>
      </c>
      <c r="F52" s="325">
        <f t="shared" si="0"/>
        <v>-197.09399999999994</v>
      </c>
      <c r="G52" s="324">
        <f t="shared" si="1"/>
        <v>80.170233316229528</v>
      </c>
    </row>
    <row r="53" spans="1:7" ht="21.75" customHeight="1">
      <c r="A53" s="105" t="s">
        <v>140</v>
      </c>
      <c r="B53" s="108" t="s">
        <v>1793</v>
      </c>
      <c r="C53" s="80" t="s">
        <v>43</v>
      </c>
      <c r="D53" s="322">
        <v>0.91</v>
      </c>
      <c r="E53" s="322">
        <v>0.78</v>
      </c>
      <c r="F53" s="325">
        <f t="shared" si="0"/>
        <v>-0.13</v>
      </c>
      <c r="G53" s="324">
        <f t="shared" si="1"/>
        <v>85.714285714285708</v>
      </c>
    </row>
    <row r="54" spans="1:7" ht="21.75" customHeight="1">
      <c r="A54" s="105" t="s">
        <v>140</v>
      </c>
      <c r="B54" s="108" t="s">
        <v>1794</v>
      </c>
      <c r="C54" s="80" t="s">
        <v>1815</v>
      </c>
      <c r="D54" s="323">
        <v>0</v>
      </c>
      <c r="E54" s="323">
        <v>0</v>
      </c>
      <c r="F54" s="323">
        <v>0</v>
      </c>
      <c r="G54" s="323">
        <v>0</v>
      </c>
    </row>
    <row r="55" spans="1:7" ht="21.75" customHeight="1">
      <c r="A55" s="105" t="s">
        <v>140</v>
      </c>
      <c r="B55" s="82" t="s">
        <v>1795</v>
      </c>
      <c r="C55" s="105" t="s">
        <v>1816</v>
      </c>
      <c r="D55" s="323">
        <v>0</v>
      </c>
      <c r="E55" s="323">
        <v>0</v>
      </c>
      <c r="F55" s="323">
        <v>0</v>
      </c>
      <c r="G55" s="323">
        <v>0</v>
      </c>
    </row>
    <row r="56" spans="1:7" ht="31" customHeight="1">
      <c r="A56" s="105" t="s">
        <v>140</v>
      </c>
      <c r="B56" s="82" t="s">
        <v>1796</v>
      </c>
      <c r="C56" s="105" t="s">
        <v>1817</v>
      </c>
      <c r="D56" s="322">
        <v>1.65</v>
      </c>
      <c r="E56" s="322">
        <v>0.67300000000000004</v>
      </c>
      <c r="F56" s="325">
        <f t="shared" si="0"/>
        <v>-0.97699999999999987</v>
      </c>
      <c r="G56" s="324">
        <f t="shared" si="1"/>
        <v>40.787878787878796</v>
      </c>
    </row>
    <row r="57" spans="1:7" ht="21.75" customHeight="1">
      <c r="A57" s="105" t="s">
        <v>140</v>
      </c>
      <c r="B57" s="108" t="s">
        <v>1797</v>
      </c>
      <c r="C57" s="80" t="s">
        <v>36</v>
      </c>
      <c r="D57" s="322">
        <v>0.13</v>
      </c>
      <c r="E57" s="322">
        <v>0.13</v>
      </c>
      <c r="F57" s="323">
        <v>0</v>
      </c>
      <c r="G57" s="324">
        <f t="shared" si="1"/>
        <v>100</v>
      </c>
    </row>
    <row r="58" spans="1:7" ht="21.75" customHeight="1">
      <c r="A58" s="105" t="s">
        <v>140</v>
      </c>
      <c r="B58" s="108" t="s">
        <v>1798</v>
      </c>
      <c r="C58" s="80" t="s">
        <v>44</v>
      </c>
      <c r="D58" s="322">
        <v>108.87</v>
      </c>
      <c r="E58" s="322">
        <v>1.6460000000000001</v>
      </c>
      <c r="F58" s="325">
        <f t="shared" si="0"/>
        <v>-107.224</v>
      </c>
      <c r="G58" s="324">
        <f t="shared" si="1"/>
        <v>1.5118949205474419</v>
      </c>
    </row>
    <row r="59" spans="1:7" ht="21.75" customHeight="1">
      <c r="A59" s="105" t="s">
        <v>140</v>
      </c>
      <c r="B59" s="108" t="s">
        <v>1799</v>
      </c>
      <c r="C59" s="80" t="s">
        <v>45</v>
      </c>
      <c r="D59" s="322">
        <v>0.64</v>
      </c>
      <c r="E59" s="322">
        <v>0.67200000000000015</v>
      </c>
      <c r="F59" s="322">
        <f t="shared" si="0"/>
        <v>3.2000000000000139E-2</v>
      </c>
      <c r="G59" s="324">
        <f t="shared" si="1"/>
        <v>105.00000000000003</v>
      </c>
    </row>
    <row r="60" spans="1:7" ht="21.75" customHeight="1">
      <c r="A60" s="105" t="s">
        <v>140</v>
      </c>
      <c r="B60" s="108" t="s">
        <v>1800</v>
      </c>
      <c r="C60" s="80" t="s">
        <v>52</v>
      </c>
      <c r="D60" s="322">
        <v>3.13</v>
      </c>
      <c r="E60" s="322">
        <v>3.1280000000000001</v>
      </c>
      <c r="F60" s="325">
        <f t="shared" si="0"/>
        <v>-1.9999999999997797E-3</v>
      </c>
      <c r="G60" s="324">
        <f t="shared" si="1"/>
        <v>99.936102236421732</v>
      </c>
    </row>
    <row r="61" spans="1:7" ht="21.75" customHeight="1">
      <c r="A61" s="105" t="s">
        <v>140</v>
      </c>
      <c r="B61" s="108" t="s">
        <v>1801</v>
      </c>
      <c r="C61" s="80" t="s">
        <v>101</v>
      </c>
      <c r="D61" s="322">
        <f>33.09+4.49</f>
        <v>37.580000000000005</v>
      </c>
      <c r="E61" s="322">
        <f>33.002+3.26</f>
        <v>36.262</v>
      </c>
      <c r="F61" s="325">
        <f t="shared" si="0"/>
        <v>-1.3180000000000049</v>
      </c>
      <c r="G61" s="324">
        <f t="shared" si="1"/>
        <v>96.492815327301741</v>
      </c>
    </row>
    <row r="62" spans="1:7" ht="21.75" customHeight="1">
      <c r="A62" s="109" t="s">
        <v>69</v>
      </c>
      <c r="B62" s="108" t="s">
        <v>1802</v>
      </c>
      <c r="C62" s="80" t="s">
        <v>37</v>
      </c>
      <c r="D62" s="322">
        <v>13.12</v>
      </c>
      <c r="E62" s="322">
        <v>13.515000000000002</v>
      </c>
      <c r="F62" s="322">
        <f t="shared" si="0"/>
        <v>0.39500000000000313</v>
      </c>
      <c r="G62" s="324">
        <f t="shared" si="1"/>
        <v>103.01067073170734</v>
      </c>
    </row>
    <row r="63" spans="1:7" ht="21.75" customHeight="1">
      <c r="A63" s="109" t="s">
        <v>70</v>
      </c>
      <c r="B63" s="108" t="s">
        <v>1803</v>
      </c>
      <c r="C63" s="80" t="s">
        <v>38</v>
      </c>
      <c r="D63" s="322">
        <v>36.61</v>
      </c>
      <c r="E63" s="322">
        <v>35.978000000000002</v>
      </c>
      <c r="F63" s="325">
        <f t="shared" si="0"/>
        <v>-0.6319999999999979</v>
      </c>
      <c r="G63" s="324">
        <f t="shared" si="1"/>
        <v>98.273695711554225</v>
      </c>
    </row>
    <row r="64" spans="1:7" ht="21.75" customHeight="1">
      <c r="A64" s="109" t="s">
        <v>74</v>
      </c>
      <c r="B64" s="82" t="s">
        <v>1804</v>
      </c>
      <c r="C64" s="105" t="s">
        <v>39</v>
      </c>
      <c r="D64" s="322">
        <v>151.47999999999999</v>
      </c>
      <c r="E64" s="322">
        <v>119.02200000000001</v>
      </c>
      <c r="F64" s="325">
        <f t="shared" si="0"/>
        <v>-32.457999999999984</v>
      </c>
      <c r="G64" s="324">
        <f t="shared" si="1"/>
        <v>78.572748877739642</v>
      </c>
    </row>
    <row r="65" spans="1:14" ht="21.75" customHeight="1">
      <c r="A65" s="109" t="s">
        <v>75</v>
      </c>
      <c r="B65" s="82" t="s">
        <v>76</v>
      </c>
      <c r="C65" s="105" t="s">
        <v>1856</v>
      </c>
      <c r="D65" s="322">
        <f>1.24+2182.84</f>
        <v>2184.08</v>
      </c>
      <c r="E65" s="322">
        <f>1.24+2490.647</f>
        <v>2491.8869999999997</v>
      </c>
      <c r="F65" s="322">
        <f t="shared" si="0"/>
        <v>307.80699999999979</v>
      </c>
      <c r="G65" s="324">
        <f t="shared" si="1"/>
        <v>114.09321087139664</v>
      </c>
      <c r="N65" s="23" t="e">
        <v>#DIV/0!</v>
      </c>
    </row>
    <row r="66" spans="1:14" s="51" customFormat="1" ht="21.75" customHeight="1">
      <c r="A66" s="109" t="s">
        <v>80</v>
      </c>
      <c r="B66" s="82" t="s">
        <v>103</v>
      </c>
      <c r="C66" s="105" t="s">
        <v>53</v>
      </c>
      <c r="D66" s="323">
        <v>0</v>
      </c>
      <c r="E66" s="323">
        <v>0</v>
      </c>
      <c r="F66" s="323">
        <v>0</v>
      </c>
      <c r="G66" s="323">
        <v>0</v>
      </c>
    </row>
    <row r="67" spans="1:14" ht="26.5" customHeight="1">
      <c r="A67" s="302">
        <v>3</v>
      </c>
      <c r="B67" s="81" t="s">
        <v>54</v>
      </c>
      <c r="C67" s="279" t="s">
        <v>79</v>
      </c>
      <c r="D67" s="323">
        <v>0</v>
      </c>
      <c r="E67" s="323">
        <v>0</v>
      </c>
      <c r="F67" s="323">
        <v>0</v>
      </c>
      <c r="G67" s="323">
        <v>0</v>
      </c>
    </row>
    <row r="68" spans="1:14" ht="31">
      <c r="A68" s="109" t="s">
        <v>1807</v>
      </c>
      <c r="B68" s="82" t="s">
        <v>1805</v>
      </c>
      <c r="C68" s="105" t="s">
        <v>1818</v>
      </c>
      <c r="D68" s="323">
        <v>0</v>
      </c>
      <c r="E68" s="323">
        <v>0</v>
      </c>
      <c r="F68" s="323">
        <v>0</v>
      </c>
      <c r="G68" s="323">
        <v>0</v>
      </c>
    </row>
    <row r="69" spans="1:14" ht="15.5">
      <c r="A69" s="109" t="s">
        <v>1808</v>
      </c>
      <c r="B69" s="82" t="s">
        <v>157</v>
      </c>
      <c r="C69" s="105" t="s">
        <v>158</v>
      </c>
      <c r="D69" s="323">
        <v>0</v>
      </c>
      <c r="E69" s="323">
        <v>0</v>
      </c>
      <c r="F69" s="323">
        <v>0</v>
      </c>
      <c r="G69" s="323">
        <v>0</v>
      </c>
    </row>
    <row r="70" spans="1:14" ht="15.5">
      <c r="A70" s="109" t="s">
        <v>1809</v>
      </c>
      <c r="B70" s="82" t="s">
        <v>159</v>
      </c>
      <c r="C70" s="105" t="s">
        <v>160</v>
      </c>
      <c r="D70" s="323">
        <v>0</v>
      </c>
      <c r="E70" s="323">
        <v>0</v>
      </c>
      <c r="F70" s="323">
        <v>0</v>
      </c>
      <c r="G70" s="323">
        <v>0</v>
      </c>
    </row>
    <row r="71" spans="1:14" ht="15.5">
      <c r="A71" s="109" t="s">
        <v>1810</v>
      </c>
      <c r="B71" s="82" t="s">
        <v>161</v>
      </c>
      <c r="C71" s="105" t="s">
        <v>162</v>
      </c>
      <c r="D71" s="323">
        <v>0</v>
      </c>
      <c r="E71" s="323">
        <v>0</v>
      </c>
      <c r="F71" s="323">
        <v>0</v>
      </c>
      <c r="G71" s="323">
        <v>0</v>
      </c>
    </row>
    <row r="72" spans="1:14" ht="15.5">
      <c r="A72" s="109" t="s">
        <v>1811</v>
      </c>
      <c r="B72" s="82" t="s">
        <v>1806</v>
      </c>
      <c r="C72" s="105" t="s">
        <v>1819</v>
      </c>
      <c r="D72" s="323">
        <v>0</v>
      </c>
      <c r="E72" s="323">
        <v>0</v>
      </c>
      <c r="F72" s="323">
        <v>0</v>
      </c>
      <c r="G72" s="323">
        <v>0</v>
      </c>
    </row>
  </sheetData>
  <mergeCells count="10">
    <mergeCell ref="A1:G1"/>
    <mergeCell ref="A2:G2"/>
    <mergeCell ref="A3:G3"/>
    <mergeCell ref="A4:A6"/>
    <mergeCell ref="B4:B6"/>
    <mergeCell ref="C4:C6"/>
    <mergeCell ref="D4:D6"/>
    <mergeCell ref="E4:G4"/>
    <mergeCell ref="F5:G5"/>
    <mergeCell ref="E5:E6"/>
  </mergeCells>
  <printOptions horizontalCentered="1"/>
  <pageMargins left="0.15748031496062992" right="7.874015748031496E-2" top="0.23622047244094491" bottom="0.11811023622047245" header="7.874015748031496E-2" footer="7.874015748031496E-2"/>
  <pageSetup paperSize="9" scale="65"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92D050"/>
  </sheetPr>
  <dimension ref="A1:V90"/>
  <sheetViews>
    <sheetView view="pageBreakPreview" zoomScale="85" zoomScaleNormal="85" zoomScaleSheetLayoutView="85" workbookViewId="0">
      <pane xSplit="4" ySplit="6" topLeftCell="M7" activePane="bottomRight" state="frozen"/>
      <selection activeCell="A5" sqref="A5:S66"/>
      <selection pane="topRight" activeCell="A5" sqref="A5:S66"/>
      <selection pane="bottomLeft" activeCell="A5" sqref="A5:S66"/>
      <selection pane="bottomRight" activeCell="C61" sqref="C61:C62"/>
    </sheetView>
  </sheetViews>
  <sheetFormatPr defaultColWidth="9" defaultRowHeight="13"/>
  <cols>
    <col min="1" max="1" width="6.25" style="2" customWidth="1"/>
    <col min="2" max="2" width="56" style="2" customWidth="1"/>
    <col min="3" max="3" width="9.33203125" style="2" customWidth="1"/>
    <col min="4" max="4" width="13.58203125" style="11" customWidth="1"/>
    <col min="5" max="17" width="10.75" style="2" customWidth="1"/>
    <col min="18" max="18" width="10.75" style="7" customWidth="1"/>
    <col min="19" max="19" width="10.75" style="2" customWidth="1"/>
    <col min="20" max="20" width="5.08203125" style="2" customWidth="1"/>
    <col min="21" max="21" width="9" style="2" customWidth="1"/>
    <col min="22" max="16384" width="9" style="2"/>
  </cols>
  <sheetData>
    <row r="1" spans="1:22" s="4" customFormat="1" ht="21.75" customHeight="1">
      <c r="A1" s="578" t="s">
        <v>138</v>
      </c>
      <c r="B1" s="578"/>
      <c r="C1" s="578"/>
      <c r="D1" s="578"/>
      <c r="E1" s="578"/>
      <c r="F1" s="578"/>
      <c r="G1" s="578"/>
      <c r="H1" s="578"/>
      <c r="I1" s="578"/>
      <c r="J1" s="578"/>
      <c r="K1" s="578"/>
      <c r="L1" s="578"/>
      <c r="M1" s="578"/>
      <c r="N1" s="578"/>
      <c r="O1" s="578"/>
      <c r="P1" s="578"/>
      <c r="Q1" s="578"/>
      <c r="R1" s="578"/>
      <c r="S1" s="578"/>
    </row>
    <row r="2" spans="1:22" s="4" customFormat="1" ht="18.75" customHeight="1">
      <c r="A2" s="571" t="s">
        <v>1771</v>
      </c>
      <c r="B2" s="571"/>
      <c r="C2" s="571"/>
      <c r="D2" s="571"/>
      <c r="E2" s="571"/>
      <c r="F2" s="571"/>
      <c r="G2" s="571"/>
      <c r="H2" s="571"/>
      <c r="I2" s="571"/>
      <c r="J2" s="571"/>
      <c r="K2" s="571"/>
      <c r="L2" s="571"/>
      <c r="M2" s="571"/>
      <c r="N2" s="571"/>
      <c r="O2" s="571"/>
      <c r="P2" s="571"/>
      <c r="Q2" s="571"/>
      <c r="R2" s="571"/>
      <c r="S2" s="571"/>
    </row>
    <row r="3" spans="1:22" s="4" customFormat="1" ht="18.75" customHeight="1">
      <c r="A3" s="575" t="s">
        <v>214</v>
      </c>
      <c r="B3" s="575"/>
      <c r="C3" s="575"/>
      <c r="D3" s="575"/>
      <c r="E3" s="575"/>
      <c r="F3" s="575"/>
      <c r="G3" s="575"/>
      <c r="H3" s="575"/>
      <c r="I3" s="575"/>
      <c r="J3" s="575"/>
      <c r="K3" s="575"/>
      <c r="L3" s="575"/>
      <c r="M3" s="575"/>
      <c r="N3" s="575"/>
      <c r="O3" s="575"/>
      <c r="P3" s="575"/>
      <c r="Q3" s="575"/>
      <c r="R3" s="575"/>
      <c r="S3" s="575"/>
    </row>
    <row r="4" spans="1:22" s="4" customFormat="1" ht="18.75" customHeight="1">
      <c r="A4" s="586" t="s">
        <v>0</v>
      </c>
      <c r="B4" s="586"/>
      <c r="C4" s="586"/>
      <c r="D4" s="586"/>
      <c r="E4" s="586"/>
      <c r="F4" s="586"/>
      <c r="G4" s="586"/>
      <c r="H4" s="586"/>
      <c r="I4" s="586"/>
      <c r="J4" s="586"/>
      <c r="K4" s="586"/>
      <c r="L4" s="586"/>
      <c r="M4" s="586"/>
      <c r="N4" s="586"/>
      <c r="O4" s="586"/>
      <c r="P4" s="586"/>
      <c r="Q4" s="586"/>
      <c r="R4" s="586"/>
      <c r="S4" s="586"/>
    </row>
    <row r="5" spans="1:22" s="79" customFormat="1" ht="16.5" customHeight="1">
      <c r="A5" s="572" t="s">
        <v>1</v>
      </c>
      <c r="B5" s="572" t="s">
        <v>151</v>
      </c>
      <c r="C5" s="572" t="s">
        <v>134</v>
      </c>
      <c r="D5" s="583" t="s">
        <v>121</v>
      </c>
      <c r="E5" s="584" t="s">
        <v>122</v>
      </c>
      <c r="F5" s="585"/>
      <c r="G5" s="585"/>
      <c r="H5" s="585"/>
      <c r="I5" s="585"/>
      <c r="J5" s="585"/>
      <c r="K5" s="585"/>
      <c r="L5" s="585"/>
      <c r="M5" s="585"/>
      <c r="N5" s="585"/>
      <c r="O5" s="585"/>
      <c r="P5" s="585"/>
      <c r="Q5" s="585"/>
      <c r="R5" s="585"/>
      <c r="S5" s="585"/>
    </row>
    <row r="6" spans="1:22" s="79" customFormat="1" ht="43.5" customHeight="1">
      <c r="A6" s="572"/>
      <c r="B6" s="572"/>
      <c r="C6" s="572"/>
      <c r="D6" s="583"/>
      <c r="E6" s="97" t="s">
        <v>217</v>
      </c>
      <c r="F6" s="97" t="s">
        <v>218</v>
      </c>
      <c r="G6" s="97" t="s">
        <v>219</v>
      </c>
      <c r="H6" s="97" t="s">
        <v>220</v>
      </c>
      <c r="I6" s="97" t="s">
        <v>221</v>
      </c>
      <c r="J6" s="97" t="s">
        <v>222</v>
      </c>
      <c r="K6" s="97" t="s">
        <v>223</v>
      </c>
      <c r="L6" s="97" t="s">
        <v>224</v>
      </c>
      <c r="M6" s="97" t="s">
        <v>225</v>
      </c>
      <c r="N6" s="97" t="s">
        <v>226</v>
      </c>
      <c r="O6" s="97" t="s">
        <v>227</v>
      </c>
      <c r="P6" s="97" t="s">
        <v>228</v>
      </c>
      <c r="Q6" s="110" t="s">
        <v>229</v>
      </c>
      <c r="R6" s="110" t="s">
        <v>230</v>
      </c>
      <c r="S6" s="110" t="s">
        <v>231</v>
      </c>
      <c r="U6" s="79" t="s">
        <v>206</v>
      </c>
      <c r="V6" s="83" t="e">
        <v>#DIV/0!</v>
      </c>
    </row>
    <row r="7" spans="1:22" s="79" customFormat="1" ht="15.75" customHeight="1">
      <c r="A7" s="279"/>
      <c r="B7" s="101" t="s">
        <v>137</v>
      </c>
      <c r="C7" s="279"/>
      <c r="D7" s="102">
        <f>SUM(E7:S7)</f>
        <v>21510.165000000001</v>
      </c>
      <c r="E7" s="102">
        <f>E8+E23+E66</f>
        <v>2104.5449999999996</v>
      </c>
      <c r="F7" s="102">
        <f t="shared" ref="F7:S7" si="0">F8+F23+F66</f>
        <v>1373.05</v>
      </c>
      <c r="G7" s="102">
        <f t="shared" si="0"/>
        <v>1009.5299999999999</v>
      </c>
      <c r="H7" s="102">
        <f t="shared" si="0"/>
        <v>2024.4639999999999</v>
      </c>
      <c r="I7" s="102">
        <f t="shared" si="0"/>
        <v>814.06899999999996</v>
      </c>
      <c r="J7" s="102">
        <f t="shared" si="0"/>
        <v>796.83199999999988</v>
      </c>
      <c r="K7" s="102">
        <f t="shared" si="0"/>
        <v>1278.5300000000002</v>
      </c>
      <c r="L7" s="102">
        <f t="shared" si="0"/>
        <v>932.74699999999996</v>
      </c>
      <c r="M7" s="102">
        <f t="shared" si="0"/>
        <v>1910.6610000000001</v>
      </c>
      <c r="N7" s="102">
        <f t="shared" si="0"/>
        <v>1006.58</v>
      </c>
      <c r="O7" s="102">
        <f t="shared" si="0"/>
        <v>1007.438</v>
      </c>
      <c r="P7" s="102">
        <f t="shared" si="0"/>
        <v>1781.3329999999999</v>
      </c>
      <c r="Q7" s="102">
        <f t="shared" si="0"/>
        <v>1616.211</v>
      </c>
      <c r="R7" s="102">
        <f t="shared" si="0"/>
        <v>2868.0549999999998</v>
      </c>
      <c r="S7" s="102">
        <f t="shared" si="0"/>
        <v>986.12000000000012</v>
      </c>
      <c r="U7" s="83"/>
    </row>
    <row r="8" spans="1:22" s="84" customFormat="1" ht="15.75" customHeight="1">
      <c r="A8" s="279">
        <v>1</v>
      </c>
      <c r="B8" s="81" t="s">
        <v>3</v>
      </c>
      <c r="C8" s="279" t="s">
        <v>4</v>
      </c>
      <c r="D8" s="102">
        <f>D10+SUM(D13:D17)+SUM(D19:D22)</f>
        <v>8209.9175519509918</v>
      </c>
      <c r="E8" s="102">
        <f t="shared" ref="E8:S8" si="1">E10+SUM(E13:E17)+SUM(E19:E22)</f>
        <v>797.3688860624153</v>
      </c>
      <c r="F8" s="102">
        <f t="shared" si="1"/>
        <v>853.27575000000002</v>
      </c>
      <c r="G8" s="102">
        <f t="shared" si="1"/>
        <v>604.2005499099098</v>
      </c>
      <c r="H8" s="102">
        <f t="shared" si="1"/>
        <v>364.00790990990993</v>
      </c>
      <c r="I8" s="102">
        <f t="shared" si="1"/>
        <v>475.62305405405402</v>
      </c>
      <c r="J8" s="102">
        <f t="shared" si="1"/>
        <v>380.5168066638667</v>
      </c>
      <c r="K8" s="102">
        <f t="shared" si="1"/>
        <v>692.71852998249915</v>
      </c>
      <c r="L8" s="102">
        <f t="shared" si="1"/>
        <v>539.44625278319234</v>
      </c>
      <c r="M8" s="102">
        <f t="shared" si="1"/>
        <v>564.25848333333329</v>
      </c>
      <c r="N8" s="102">
        <f t="shared" si="1"/>
        <v>583.90711786486486</v>
      </c>
      <c r="O8" s="102">
        <f t="shared" si="1"/>
        <v>469.06373873873872</v>
      </c>
      <c r="P8" s="102">
        <f t="shared" si="1"/>
        <v>0</v>
      </c>
      <c r="Q8" s="102">
        <f t="shared" si="1"/>
        <v>591.16133333333346</v>
      </c>
      <c r="R8" s="102">
        <f t="shared" si="1"/>
        <v>607.6701393148727</v>
      </c>
      <c r="S8" s="102">
        <f t="shared" si="1"/>
        <v>686.69900000000007</v>
      </c>
      <c r="U8" s="85">
        <f>D8/D7*100</f>
        <v>38.16761773771141</v>
      </c>
    </row>
    <row r="9" spans="1:22" s="86" customFormat="1" ht="15.75" customHeight="1">
      <c r="A9" s="279"/>
      <c r="B9" s="96" t="s">
        <v>176</v>
      </c>
      <c r="C9" s="279"/>
      <c r="D9" s="104"/>
      <c r="E9" s="104"/>
      <c r="F9" s="104"/>
      <c r="G9" s="104"/>
      <c r="H9" s="104"/>
      <c r="I9" s="104"/>
      <c r="J9" s="104"/>
      <c r="K9" s="104"/>
      <c r="L9" s="104"/>
      <c r="M9" s="104"/>
      <c r="N9" s="104"/>
      <c r="O9" s="104"/>
      <c r="P9" s="104"/>
      <c r="Q9" s="104"/>
      <c r="R9" s="102"/>
      <c r="S9" s="102"/>
      <c r="U9" s="87"/>
    </row>
    <row r="10" spans="1:22" s="86" customFormat="1" ht="15.75" customHeight="1">
      <c r="A10" s="105" t="s">
        <v>6</v>
      </c>
      <c r="B10" s="82" t="s">
        <v>81</v>
      </c>
      <c r="C10" s="105" t="s">
        <v>5</v>
      </c>
      <c r="D10" s="104">
        <f>SUM(D11:D12)</f>
        <v>4247.0216354529757</v>
      </c>
      <c r="E10" s="104">
        <f t="shared" ref="E10:S10" si="2">SUM(E11:E12)</f>
        <v>605.1986402320963</v>
      </c>
      <c r="F10" s="104">
        <f t="shared" si="2"/>
        <v>481.23699999999997</v>
      </c>
      <c r="G10" s="104">
        <f t="shared" si="2"/>
        <v>462.11737799999997</v>
      </c>
      <c r="H10" s="104">
        <f t="shared" si="2"/>
        <v>5.09</v>
      </c>
      <c r="I10" s="104">
        <f t="shared" si="2"/>
        <v>351.29599999999999</v>
      </c>
      <c r="J10" s="104">
        <f t="shared" si="2"/>
        <v>264.15410863782722</v>
      </c>
      <c r="K10" s="104">
        <f t="shared" si="2"/>
        <v>555.31084974028704</v>
      </c>
      <c r="L10" s="104">
        <f t="shared" si="2"/>
        <v>120.86953103324132</v>
      </c>
      <c r="M10" s="104">
        <f t="shared" si="2"/>
        <v>101.63550000000001</v>
      </c>
      <c r="N10" s="104">
        <f t="shared" si="2"/>
        <v>354.37910399999998</v>
      </c>
      <c r="O10" s="104">
        <f t="shared" si="2"/>
        <v>256.66885714285712</v>
      </c>
      <c r="P10" s="104">
        <f t="shared" si="2"/>
        <v>0</v>
      </c>
      <c r="Q10" s="104">
        <f t="shared" si="2"/>
        <v>1.9599999999999909</v>
      </c>
      <c r="R10" s="104">
        <f t="shared" si="2"/>
        <v>89.912999999999897</v>
      </c>
      <c r="S10" s="104">
        <f t="shared" si="2"/>
        <v>597.19166666666672</v>
      </c>
      <c r="U10" s="87" t="e">
        <v>#DIV/0!</v>
      </c>
    </row>
    <row r="11" spans="1:22" s="25" customFormat="1" ht="15.75" customHeight="1">
      <c r="A11" s="105"/>
      <c r="B11" s="82" t="s">
        <v>1778</v>
      </c>
      <c r="C11" s="105" t="s">
        <v>7</v>
      </c>
      <c r="D11" s="104">
        <f t="shared" ref="D11:D16" si="3">SUM(E11:S11)</f>
        <v>4143.322135452976</v>
      </c>
      <c r="E11" s="104">
        <v>596.44214023209634</v>
      </c>
      <c r="F11" s="104">
        <v>481.23699999999997</v>
      </c>
      <c r="G11" s="104">
        <v>462.11737799999997</v>
      </c>
      <c r="H11" s="104">
        <v>6.9999999999999993E-2</v>
      </c>
      <c r="I11" s="104">
        <v>351.29599999999999</v>
      </c>
      <c r="J11" s="104">
        <v>264.15410863782722</v>
      </c>
      <c r="K11" s="104">
        <v>555.31084974028704</v>
      </c>
      <c r="L11" s="104">
        <v>120.86953103324132</v>
      </c>
      <c r="M11" s="104">
        <v>101.63550000000001</v>
      </c>
      <c r="N11" s="104">
        <v>354.37910399999998</v>
      </c>
      <c r="O11" s="104">
        <v>256.66885714285712</v>
      </c>
      <c r="P11" s="104">
        <v>0</v>
      </c>
      <c r="Q11" s="104">
        <v>1.95</v>
      </c>
      <c r="R11" s="104">
        <v>0</v>
      </c>
      <c r="S11" s="104">
        <v>597.19166666666672</v>
      </c>
      <c r="U11" s="87" t="e">
        <v>#DIV/0!</v>
      </c>
      <c r="V11" s="90" t="e">
        <v>#DIV/0!</v>
      </c>
    </row>
    <row r="12" spans="1:22" s="25" customFormat="1" ht="15.75" customHeight="1">
      <c r="A12" s="105"/>
      <c r="B12" s="82" t="s">
        <v>1779</v>
      </c>
      <c r="C12" s="105" t="s">
        <v>8</v>
      </c>
      <c r="D12" s="104">
        <f t="shared" si="3"/>
        <v>103.69949999999989</v>
      </c>
      <c r="E12" s="104">
        <v>8.7564999999999991</v>
      </c>
      <c r="F12" s="104">
        <v>0</v>
      </c>
      <c r="G12" s="104">
        <v>0</v>
      </c>
      <c r="H12" s="104">
        <v>5.0199999999999996</v>
      </c>
      <c r="I12" s="104">
        <v>0</v>
      </c>
      <c r="J12" s="104">
        <v>0</v>
      </c>
      <c r="K12" s="104">
        <v>0</v>
      </c>
      <c r="L12" s="104">
        <v>0</v>
      </c>
      <c r="M12" s="104">
        <v>0</v>
      </c>
      <c r="N12" s="104">
        <v>0</v>
      </c>
      <c r="O12" s="104">
        <v>0</v>
      </c>
      <c r="P12" s="104">
        <v>0</v>
      </c>
      <c r="Q12" s="104">
        <v>9.9999999999909051E-3</v>
      </c>
      <c r="R12" s="104">
        <v>89.912999999999897</v>
      </c>
      <c r="S12" s="104">
        <v>0</v>
      </c>
      <c r="U12" s="87" t="e">
        <v>#DIV/0!</v>
      </c>
      <c r="V12" s="90" t="e">
        <v>#DIV/0!</v>
      </c>
    </row>
    <row r="13" spans="1:22" s="25" customFormat="1" ht="15.75" customHeight="1">
      <c r="A13" s="105" t="s">
        <v>9</v>
      </c>
      <c r="B13" s="82" t="s">
        <v>1780</v>
      </c>
      <c r="C13" s="105" t="s">
        <v>11</v>
      </c>
      <c r="D13" s="104">
        <f t="shared" si="3"/>
        <v>1340.4663581530322</v>
      </c>
      <c r="E13" s="104">
        <v>129.95411863395327</v>
      </c>
      <c r="F13" s="104">
        <v>17.323</v>
      </c>
      <c r="G13" s="104">
        <v>41.509909909909908</v>
      </c>
      <c r="H13" s="104">
        <v>1.0299099099099109</v>
      </c>
      <c r="I13" s="104">
        <v>12.293387387387389</v>
      </c>
      <c r="J13" s="104">
        <v>89.526031359372809</v>
      </c>
      <c r="K13" s="104">
        <v>110.19718811760589</v>
      </c>
      <c r="L13" s="104">
        <v>410.48005508328441</v>
      </c>
      <c r="M13" s="104">
        <v>95</v>
      </c>
      <c r="N13" s="104">
        <v>219.84801386486484</v>
      </c>
      <c r="O13" s="104">
        <v>132.69016731016731</v>
      </c>
      <c r="P13" s="104">
        <v>0</v>
      </c>
      <c r="Q13" s="104">
        <v>13.559999999999999</v>
      </c>
      <c r="R13" s="104">
        <v>4.1029099099099255</v>
      </c>
      <c r="S13" s="104">
        <v>62.951666666666668</v>
      </c>
      <c r="U13" s="88" t="e">
        <v>#DIV/0!</v>
      </c>
    </row>
    <row r="14" spans="1:22" s="86" customFormat="1" ht="15.75" customHeight="1">
      <c r="A14" s="105" t="s">
        <v>10</v>
      </c>
      <c r="B14" s="82" t="s">
        <v>59</v>
      </c>
      <c r="C14" s="105" t="s">
        <v>13</v>
      </c>
      <c r="D14" s="104">
        <f t="shared" si="3"/>
        <v>643.93813063075038</v>
      </c>
      <c r="E14" s="104">
        <v>23.422127196365814</v>
      </c>
      <c r="F14" s="104">
        <v>86.789749999999998</v>
      </c>
      <c r="G14" s="104">
        <v>47.197262000000002</v>
      </c>
      <c r="H14" s="104">
        <v>66.616000000000014</v>
      </c>
      <c r="I14" s="104">
        <v>54.323666666666675</v>
      </c>
      <c r="J14" s="104">
        <v>19.966666666666665</v>
      </c>
      <c r="K14" s="104">
        <v>14.356492124606229</v>
      </c>
      <c r="L14" s="104">
        <v>4.8606666666666669</v>
      </c>
      <c r="M14" s="104">
        <v>76.908983333333325</v>
      </c>
      <c r="N14" s="104">
        <v>8.1960000000000015</v>
      </c>
      <c r="O14" s="104">
        <v>74.301714285714283</v>
      </c>
      <c r="P14" s="104">
        <v>0</v>
      </c>
      <c r="Q14" s="104">
        <v>36.425333333333313</v>
      </c>
      <c r="R14" s="104">
        <v>110.77080169073069</v>
      </c>
      <c r="S14" s="104">
        <v>19.802666666666664</v>
      </c>
      <c r="U14" s="87" t="e">
        <v>#DIV/0!</v>
      </c>
    </row>
    <row r="15" spans="1:22" s="25" customFormat="1" ht="15.75" customHeight="1">
      <c r="A15" s="105" t="s">
        <v>12</v>
      </c>
      <c r="B15" s="82" t="s">
        <v>60</v>
      </c>
      <c r="C15" s="105" t="s">
        <v>15</v>
      </c>
      <c r="D15" s="104">
        <f t="shared" si="3"/>
        <v>0</v>
      </c>
      <c r="E15" s="104"/>
      <c r="F15" s="104"/>
      <c r="G15" s="104"/>
      <c r="H15" s="104"/>
      <c r="I15" s="104"/>
      <c r="J15" s="104"/>
      <c r="K15" s="104"/>
      <c r="L15" s="104"/>
      <c r="M15" s="104"/>
      <c r="N15" s="104"/>
      <c r="O15" s="104"/>
      <c r="P15" s="104"/>
      <c r="Q15" s="104"/>
      <c r="R15" s="104"/>
      <c r="S15" s="104"/>
      <c r="U15" s="87" t="e">
        <v>#DIV/0!</v>
      </c>
    </row>
    <row r="16" spans="1:22" s="25" customFormat="1" ht="15.75" customHeight="1">
      <c r="A16" s="105" t="s">
        <v>14</v>
      </c>
      <c r="B16" s="82" t="s">
        <v>61</v>
      </c>
      <c r="C16" s="105" t="s">
        <v>16</v>
      </c>
      <c r="D16" s="104">
        <f t="shared" si="3"/>
        <v>0</v>
      </c>
      <c r="E16" s="104"/>
      <c r="F16" s="104"/>
      <c r="G16" s="104"/>
      <c r="H16" s="104"/>
      <c r="I16" s="104"/>
      <c r="J16" s="104"/>
      <c r="K16" s="104"/>
      <c r="L16" s="104"/>
      <c r="M16" s="104"/>
      <c r="N16" s="104"/>
      <c r="O16" s="104"/>
      <c r="P16" s="104"/>
      <c r="Q16" s="104"/>
      <c r="R16" s="104"/>
      <c r="S16" s="104"/>
      <c r="U16" s="87" t="e">
        <v>#DIV/0!</v>
      </c>
    </row>
    <row r="17" spans="1:22" s="86" customFormat="1" ht="15.75" customHeight="1">
      <c r="A17" s="105" t="s">
        <v>63</v>
      </c>
      <c r="B17" s="82" t="s">
        <v>62</v>
      </c>
      <c r="C17" s="105" t="s">
        <v>17</v>
      </c>
      <c r="D17" s="104">
        <f>D18</f>
        <v>0</v>
      </c>
      <c r="E17" s="104">
        <f t="shared" ref="E17:S17" si="4">E18</f>
        <v>0</v>
      </c>
      <c r="F17" s="104">
        <f t="shared" si="4"/>
        <v>0</v>
      </c>
      <c r="G17" s="104">
        <f t="shared" si="4"/>
        <v>0</v>
      </c>
      <c r="H17" s="104">
        <f t="shared" si="4"/>
        <v>0</v>
      </c>
      <c r="I17" s="104">
        <f t="shared" si="4"/>
        <v>0</v>
      </c>
      <c r="J17" s="104">
        <f t="shared" si="4"/>
        <v>0</v>
      </c>
      <c r="K17" s="104">
        <f t="shared" si="4"/>
        <v>0</v>
      </c>
      <c r="L17" s="104">
        <f t="shared" si="4"/>
        <v>0</v>
      </c>
      <c r="M17" s="104">
        <f t="shared" si="4"/>
        <v>0</v>
      </c>
      <c r="N17" s="104">
        <f t="shared" si="4"/>
        <v>0</v>
      </c>
      <c r="O17" s="104">
        <f t="shared" si="4"/>
        <v>0</v>
      </c>
      <c r="P17" s="104">
        <f t="shared" si="4"/>
        <v>0</v>
      </c>
      <c r="Q17" s="104">
        <f t="shared" si="4"/>
        <v>0</v>
      </c>
      <c r="R17" s="104">
        <f t="shared" si="4"/>
        <v>0</v>
      </c>
      <c r="S17" s="104">
        <f t="shared" si="4"/>
        <v>0</v>
      </c>
      <c r="U17" s="87" t="e">
        <v>#DIV/0!</v>
      </c>
    </row>
    <row r="18" spans="1:22" s="86" customFormat="1" ht="15.75" customHeight="1">
      <c r="A18" s="106"/>
      <c r="B18" s="96" t="s">
        <v>177</v>
      </c>
      <c r="C18" s="106" t="s">
        <v>163</v>
      </c>
      <c r="D18" s="104">
        <f t="shared" ref="D18:D22" si="5">SUM(E18:S18)</f>
        <v>0</v>
      </c>
      <c r="E18" s="107"/>
      <c r="F18" s="107"/>
      <c r="G18" s="107"/>
      <c r="H18" s="107"/>
      <c r="I18" s="107"/>
      <c r="J18" s="107"/>
      <c r="K18" s="107"/>
      <c r="L18" s="107"/>
      <c r="M18" s="107"/>
      <c r="N18" s="107"/>
      <c r="O18" s="107"/>
      <c r="P18" s="107"/>
      <c r="Q18" s="107"/>
      <c r="R18" s="107"/>
      <c r="S18" s="107"/>
      <c r="U18" s="87" t="e">
        <v>#DIV/0!</v>
      </c>
      <c r="V18" s="89"/>
    </row>
    <row r="19" spans="1:22" s="25" customFormat="1" ht="15.75" customHeight="1">
      <c r="A19" s="105" t="s">
        <v>72</v>
      </c>
      <c r="B19" s="82" t="s">
        <v>71</v>
      </c>
      <c r="C19" s="105" t="s">
        <v>18</v>
      </c>
      <c r="D19" s="104">
        <f t="shared" si="5"/>
        <v>1950.6084277142324</v>
      </c>
      <c r="E19" s="104">
        <v>36.78</v>
      </c>
      <c r="F19" s="104">
        <v>266.286</v>
      </c>
      <c r="G19" s="104">
        <v>45.832000000000008</v>
      </c>
      <c r="H19" s="104">
        <v>291.27199999999999</v>
      </c>
      <c r="I19" s="104">
        <v>57.71</v>
      </c>
      <c r="J19" s="104">
        <v>1.0999999999999999</v>
      </c>
      <c r="K19" s="104">
        <v>10.144000000000002</v>
      </c>
      <c r="L19" s="104">
        <v>1.1460000000000001</v>
      </c>
      <c r="M19" s="104">
        <v>290.52999999999997</v>
      </c>
      <c r="N19" s="104">
        <v>0.58000000000000007</v>
      </c>
      <c r="O19" s="104">
        <v>2.9200000000000004</v>
      </c>
      <c r="P19" s="104">
        <v>0</v>
      </c>
      <c r="Q19" s="104">
        <v>539.21600000000012</v>
      </c>
      <c r="R19" s="104">
        <v>402.8834277142322</v>
      </c>
      <c r="S19" s="104">
        <v>4.2090000000000005</v>
      </c>
      <c r="U19" s="87" t="e">
        <v>#DIV/0!</v>
      </c>
      <c r="V19" s="90"/>
    </row>
    <row r="20" spans="1:22" s="25" customFormat="1" ht="15.75" customHeight="1">
      <c r="A20" s="105" t="s">
        <v>82</v>
      </c>
      <c r="B20" s="82" t="s">
        <v>1782</v>
      </c>
      <c r="C20" s="105" t="s">
        <v>1783</v>
      </c>
      <c r="D20" s="104">
        <f t="shared" si="5"/>
        <v>0</v>
      </c>
      <c r="E20" s="104"/>
      <c r="F20" s="104"/>
      <c r="G20" s="104"/>
      <c r="H20" s="104"/>
      <c r="I20" s="104"/>
      <c r="J20" s="104"/>
      <c r="K20" s="104"/>
      <c r="L20" s="104"/>
      <c r="M20" s="104"/>
      <c r="N20" s="104"/>
      <c r="O20" s="104"/>
      <c r="P20" s="104"/>
      <c r="Q20" s="104"/>
      <c r="R20" s="104"/>
      <c r="S20" s="104"/>
      <c r="U20" s="87" t="e">
        <v>#DIV/0!</v>
      </c>
    </row>
    <row r="21" spans="1:22" s="25" customFormat="1" ht="15.75" customHeight="1">
      <c r="A21" s="105" t="s">
        <v>85</v>
      </c>
      <c r="B21" s="82" t="s">
        <v>73</v>
      </c>
      <c r="C21" s="105" t="s">
        <v>19</v>
      </c>
      <c r="D21" s="104">
        <f t="shared" si="5"/>
        <v>0</v>
      </c>
      <c r="E21" s="104"/>
      <c r="F21" s="104"/>
      <c r="G21" s="104"/>
      <c r="H21" s="104"/>
      <c r="I21" s="104"/>
      <c r="J21" s="104"/>
      <c r="K21" s="104"/>
      <c r="L21" s="104"/>
      <c r="M21" s="104"/>
      <c r="N21" s="104"/>
      <c r="O21" s="104"/>
      <c r="P21" s="104"/>
      <c r="Q21" s="104"/>
      <c r="R21" s="104"/>
      <c r="S21" s="104"/>
      <c r="U21" s="87" t="e">
        <v>#DIV/0!</v>
      </c>
    </row>
    <row r="22" spans="1:22" s="86" customFormat="1" ht="15.75" customHeight="1">
      <c r="A22" s="105" t="s">
        <v>1781</v>
      </c>
      <c r="B22" s="82" t="s">
        <v>84</v>
      </c>
      <c r="C22" s="105" t="s">
        <v>20</v>
      </c>
      <c r="D22" s="104">
        <f t="shared" si="5"/>
        <v>27.883000000000003</v>
      </c>
      <c r="E22" s="104">
        <v>2.0139999999999998</v>
      </c>
      <c r="F22" s="104">
        <v>1.64</v>
      </c>
      <c r="G22" s="104">
        <v>7.5439999999999996</v>
      </c>
      <c r="H22" s="104">
        <v>0</v>
      </c>
      <c r="I22" s="104">
        <v>0</v>
      </c>
      <c r="J22" s="104">
        <v>5.77</v>
      </c>
      <c r="K22" s="104">
        <v>2.71</v>
      </c>
      <c r="L22" s="104">
        <v>2.09</v>
      </c>
      <c r="M22" s="104">
        <v>0.184</v>
      </c>
      <c r="N22" s="104">
        <v>0.90400000000000003</v>
      </c>
      <c r="O22" s="104">
        <v>2.4830000000000001</v>
      </c>
      <c r="P22" s="104">
        <v>0</v>
      </c>
      <c r="Q22" s="104">
        <v>0</v>
      </c>
      <c r="R22" s="104">
        <v>0</v>
      </c>
      <c r="S22" s="104">
        <v>2.544</v>
      </c>
      <c r="U22" s="87" t="e">
        <v>#DIV/0!</v>
      </c>
    </row>
    <row r="23" spans="1:22" s="86" customFormat="1" ht="15.75" customHeight="1">
      <c r="A23" s="279">
        <v>2</v>
      </c>
      <c r="B23" s="81" t="s">
        <v>21</v>
      </c>
      <c r="C23" s="279" t="s">
        <v>22</v>
      </c>
      <c r="D23" s="102">
        <f>SUM(D25:D30)+D42+D49+SUM(D61:D65)</f>
        <v>13300.247448049009</v>
      </c>
      <c r="E23" s="102">
        <f t="shared" ref="E23:S23" si="6">SUM(E25:E30)+E42+E49+SUM(E61:E65)</f>
        <v>1307.1761139375844</v>
      </c>
      <c r="F23" s="102">
        <f t="shared" si="6"/>
        <v>519.77424999999994</v>
      </c>
      <c r="G23" s="102">
        <f t="shared" si="6"/>
        <v>405.32945009009006</v>
      </c>
      <c r="H23" s="102">
        <f t="shared" si="6"/>
        <v>1660.4560900900901</v>
      </c>
      <c r="I23" s="102">
        <f t="shared" si="6"/>
        <v>338.44594594594594</v>
      </c>
      <c r="J23" s="102">
        <f t="shared" si="6"/>
        <v>416.31519333613318</v>
      </c>
      <c r="K23" s="102">
        <f t="shared" si="6"/>
        <v>585.81147001750105</v>
      </c>
      <c r="L23" s="102">
        <f t="shared" si="6"/>
        <v>393.30074721680762</v>
      </c>
      <c r="M23" s="102">
        <f t="shared" si="6"/>
        <v>1346.4025166666668</v>
      </c>
      <c r="N23" s="102">
        <f t="shared" si="6"/>
        <v>422.67288213513518</v>
      </c>
      <c r="O23" s="102">
        <f t="shared" si="6"/>
        <v>538.37426126126127</v>
      </c>
      <c r="P23" s="102">
        <f t="shared" si="6"/>
        <v>1781.3329999999999</v>
      </c>
      <c r="Q23" s="102">
        <f t="shared" si="6"/>
        <v>1025.0496666666666</v>
      </c>
      <c r="R23" s="102">
        <f t="shared" si="6"/>
        <v>2260.384860685127</v>
      </c>
      <c r="S23" s="102">
        <f t="shared" si="6"/>
        <v>299.42099999999999</v>
      </c>
      <c r="U23" s="87"/>
    </row>
    <row r="24" spans="1:22" s="86" customFormat="1" ht="15.75" customHeight="1">
      <c r="A24" s="279"/>
      <c r="B24" s="96" t="s">
        <v>176</v>
      </c>
      <c r="C24" s="279"/>
      <c r="D24" s="104">
        <f t="shared" ref="D24:D29" si="7">SUM(E24:S24)</f>
        <v>0</v>
      </c>
      <c r="E24" s="104"/>
      <c r="F24" s="104"/>
      <c r="G24" s="104"/>
      <c r="H24" s="104"/>
      <c r="I24" s="104"/>
      <c r="J24" s="104"/>
      <c r="K24" s="104"/>
      <c r="L24" s="104"/>
      <c r="M24" s="104"/>
      <c r="N24" s="104"/>
      <c r="O24" s="104"/>
      <c r="P24" s="104"/>
      <c r="Q24" s="104"/>
      <c r="R24" s="102"/>
      <c r="S24" s="102"/>
      <c r="U24" s="87" t="e">
        <v>#DIV/0!</v>
      </c>
    </row>
    <row r="25" spans="1:22" s="84" customFormat="1" ht="15.75" customHeight="1">
      <c r="A25" s="105" t="s">
        <v>23</v>
      </c>
      <c r="B25" s="82" t="s">
        <v>95</v>
      </c>
      <c r="C25" s="105" t="s">
        <v>56</v>
      </c>
      <c r="D25" s="104">
        <f t="shared" si="7"/>
        <v>6338.3503424259588</v>
      </c>
      <c r="E25" s="104">
        <v>0</v>
      </c>
      <c r="F25" s="104">
        <v>295.214</v>
      </c>
      <c r="G25" s="104">
        <v>137.67367300000001</v>
      </c>
      <c r="H25" s="104">
        <v>869.33799999999997</v>
      </c>
      <c r="I25" s="104">
        <v>119.64</v>
      </c>
      <c r="J25" s="104">
        <v>280.2398600027999</v>
      </c>
      <c r="K25" s="104">
        <v>437.76147001750093</v>
      </c>
      <c r="L25" s="104">
        <v>330.46324000960038</v>
      </c>
      <c r="M25" s="104">
        <v>1033.6431</v>
      </c>
      <c r="N25" s="104">
        <v>296.20774700000004</v>
      </c>
      <c r="O25" s="104">
        <v>353</v>
      </c>
      <c r="P25" s="104">
        <v>721.81983912022861</v>
      </c>
      <c r="Q25" s="104">
        <v>730.05199999999991</v>
      </c>
      <c r="R25" s="104">
        <v>568.33241327582982</v>
      </c>
      <c r="S25" s="104">
        <v>164.96499999999997</v>
      </c>
      <c r="U25" s="87" t="e">
        <v>#DIV/0!</v>
      </c>
    </row>
    <row r="26" spans="1:22" s="25" customFormat="1" ht="15.75" customHeight="1">
      <c r="A26" s="105" t="s">
        <v>25</v>
      </c>
      <c r="B26" s="82" t="s">
        <v>96</v>
      </c>
      <c r="C26" s="105" t="s">
        <v>55</v>
      </c>
      <c r="D26" s="104">
        <f t="shared" si="7"/>
        <v>629.86954286448952</v>
      </c>
      <c r="E26" s="104">
        <v>629.86954286448952</v>
      </c>
      <c r="F26" s="104">
        <v>0</v>
      </c>
      <c r="G26" s="104">
        <v>0</v>
      </c>
      <c r="H26" s="104">
        <v>0</v>
      </c>
      <c r="I26" s="104">
        <v>0</v>
      </c>
      <c r="J26" s="104">
        <v>0</v>
      </c>
      <c r="K26" s="104">
        <v>0</v>
      </c>
      <c r="L26" s="104">
        <v>0</v>
      </c>
      <c r="M26" s="104">
        <v>0</v>
      </c>
      <c r="N26" s="104">
        <v>0</v>
      </c>
      <c r="O26" s="104">
        <v>0</v>
      </c>
      <c r="P26" s="104">
        <v>0</v>
      </c>
      <c r="Q26" s="104">
        <v>0</v>
      </c>
      <c r="R26" s="104">
        <v>0</v>
      </c>
      <c r="S26" s="104">
        <v>0</v>
      </c>
      <c r="U26" s="87"/>
    </row>
    <row r="27" spans="1:22" s="86" customFormat="1" ht="15.75" customHeight="1">
      <c r="A27" s="105" t="s">
        <v>27</v>
      </c>
      <c r="B27" s="82" t="s">
        <v>90</v>
      </c>
      <c r="C27" s="105" t="s">
        <v>24</v>
      </c>
      <c r="D27" s="104">
        <f t="shared" si="7"/>
        <v>15.072100000000001</v>
      </c>
      <c r="E27" s="104">
        <v>9.3551000000000002</v>
      </c>
      <c r="F27" s="104">
        <v>0.88</v>
      </c>
      <c r="G27" s="104">
        <v>0.23</v>
      </c>
      <c r="H27" s="104">
        <v>0.20400000000000001</v>
      </c>
      <c r="I27" s="104">
        <v>0.52</v>
      </c>
      <c r="J27" s="104">
        <v>0.58399999999999996</v>
      </c>
      <c r="K27" s="104">
        <v>0.374</v>
      </c>
      <c r="L27" s="104">
        <v>0.47000000000000003</v>
      </c>
      <c r="M27" s="104">
        <v>0.23</v>
      </c>
      <c r="N27" s="104">
        <v>0.12</v>
      </c>
      <c r="O27" s="104">
        <v>0.41</v>
      </c>
      <c r="P27" s="104">
        <v>0.317</v>
      </c>
      <c r="Q27" s="104">
        <v>0.36000000000000004</v>
      </c>
      <c r="R27" s="104">
        <f>0.664+0.02</f>
        <v>0.68400000000000005</v>
      </c>
      <c r="S27" s="104">
        <v>0.33400000000000002</v>
      </c>
      <c r="U27" s="87" t="e">
        <v>#DIV/0!</v>
      </c>
    </row>
    <row r="28" spans="1:22" s="86" customFormat="1" ht="15.75" customHeight="1">
      <c r="A28" s="105" t="s">
        <v>29</v>
      </c>
      <c r="B28" s="82" t="s">
        <v>64</v>
      </c>
      <c r="C28" s="105" t="s">
        <v>26</v>
      </c>
      <c r="D28" s="104">
        <f t="shared" si="7"/>
        <v>7.0598489999999998</v>
      </c>
      <c r="E28" s="104">
        <v>1.18</v>
      </c>
      <c r="F28" s="104">
        <v>0</v>
      </c>
      <c r="G28" s="104">
        <v>5.2698489999999998</v>
      </c>
      <c r="H28" s="104">
        <v>0</v>
      </c>
      <c r="I28" s="104">
        <v>0</v>
      </c>
      <c r="J28" s="104">
        <v>0</v>
      </c>
      <c r="K28" s="104">
        <v>0</v>
      </c>
      <c r="L28" s="104">
        <v>0</v>
      </c>
      <c r="M28" s="104">
        <v>0</v>
      </c>
      <c r="N28" s="104">
        <v>0</v>
      </c>
      <c r="O28" s="104">
        <v>7.0000000000000007E-2</v>
      </c>
      <c r="P28" s="104">
        <v>0.31</v>
      </c>
      <c r="Q28" s="104">
        <v>0</v>
      </c>
      <c r="R28" s="104">
        <v>0.23</v>
      </c>
      <c r="S28" s="104">
        <v>0</v>
      </c>
      <c r="U28" s="88" t="e">
        <v>#DIV/0!</v>
      </c>
    </row>
    <row r="29" spans="1:22" s="86" customFormat="1" ht="15.75" customHeight="1">
      <c r="A29" s="105" t="s">
        <v>31</v>
      </c>
      <c r="B29" s="82" t="s">
        <v>65</v>
      </c>
      <c r="C29" s="105" t="s">
        <v>28</v>
      </c>
      <c r="D29" s="104">
        <f t="shared" si="7"/>
        <v>5.2509999999999994</v>
      </c>
      <c r="E29" s="104">
        <v>3.2780000000000005</v>
      </c>
      <c r="F29" s="104">
        <v>0</v>
      </c>
      <c r="G29" s="104">
        <v>0.55000000000000004</v>
      </c>
      <c r="H29" s="104">
        <v>0.19600000000000001</v>
      </c>
      <c r="I29" s="104">
        <v>0.09</v>
      </c>
      <c r="J29" s="104">
        <v>0.2</v>
      </c>
      <c r="K29" s="104">
        <v>0.05</v>
      </c>
      <c r="L29" s="104">
        <v>0.1</v>
      </c>
      <c r="M29" s="104">
        <v>0.11</v>
      </c>
      <c r="N29" s="104">
        <v>0.1</v>
      </c>
      <c r="O29" s="104">
        <v>0</v>
      </c>
      <c r="P29" s="104">
        <v>0.1</v>
      </c>
      <c r="Q29" s="104">
        <v>0.14700000000000002</v>
      </c>
      <c r="R29" s="104">
        <v>0.23</v>
      </c>
      <c r="S29" s="104">
        <v>0.1</v>
      </c>
      <c r="U29" s="87"/>
    </row>
    <row r="30" spans="1:22" s="25" customFormat="1" ht="15.75" customHeight="1">
      <c r="A30" s="105" t="s">
        <v>33</v>
      </c>
      <c r="B30" s="82" t="s">
        <v>1784</v>
      </c>
      <c r="C30" s="105" t="s">
        <v>154</v>
      </c>
      <c r="D30" s="104">
        <f>SUM(D32:D41)</f>
        <v>106.7473</v>
      </c>
      <c r="E30" s="104">
        <f t="shared" ref="E30:S30" si="8">SUM(E32:E41)</f>
        <v>29.506299999999996</v>
      </c>
      <c r="F30" s="104">
        <f t="shared" si="8"/>
        <v>8.93</v>
      </c>
      <c r="G30" s="104">
        <f t="shared" si="8"/>
        <v>4.9679999999999991</v>
      </c>
      <c r="H30" s="104">
        <f t="shared" si="8"/>
        <v>12.18</v>
      </c>
      <c r="I30" s="104">
        <f t="shared" si="8"/>
        <v>2.04</v>
      </c>
      <c r="J30" s="104">
        <f t="shared" si="8"/>
        <v>5.09</v>
      </c>
      <c r="K30" s="104">
        <f t="shared" si="8"/>
        <v>8.9130000000000003</v>
      </c>
      <c r="L30" s="104">
        <f t="shared" si="8"/>
        <v>2.2799999999999998</v>
      </c>
      <c r="M30" s="104">
        <f t="shared" si="8"/>
        <v>4.3199999999999994</v>
      </c>
      <c r="N30" s="104">
        <f t="shared" si="8"/>
        <v>4.1539999999999999</v>
      </c>
      <c r="O30" s="104">
        <f t="shared" si="8"/>
        <v>7.68</v>
      </c>
      <c r="P30" s="104">
        <f t="shared" si="8"/>
        <v>5.49</v>
      </c>
      <c r="Q30" s="104">
        <f t="shared" si="8"/>
        <v>1.9730000000000001</v>
      </c>
      <c r="R30" s="104">
        <f t="shared" si="8"/>
        <v>3.4030000000000005</v>
      </c>
      <c r="S30" s="104">
        <f t="shared" si="8"/>
        <v>5.82</v>
      </c>
      <c r="U30" s="87" t="e">
        <v>#DIV/0!</v>
      </c>
    </row>
    <row r="31" spans="1:22" s="86" customFormat="1" ht="15.75" customHeight="1">
      <c r="A31" s="105"/>
      <c r="B31" s="82" t="s">
        <v>176</v>
      </c>
      <c r="C31" s="105"/>
      <c r="D31" s="104">
        <f t="shared" ref="D31:D41" si="9">SUM(E31:S31)</f>
        <v>0</v>
      </c>
      <c r="E31" s="104"/>
      <c r="F31" s="104"/>
      <c r="G31" s="104"/>
      <c r="H31" s="104"/>
      <c r="I31" s="104"/>
      <c r="J31" s="104"/>
      <c r="K31" s="104"/>
      <c r="L31" s="104"/>
      <c r="M31" s="104"/>
      <c r="N31" s="104"/>
      <c r="O31" s="104"/>
      <c r="P31" s="104"/>
      <c r="Q31" s="104"/>
      <c r="R31" s="104"/>
      <c r="S31" s="104"/>
      <c r="U31" s="87" t="e">
        <v>#DIV/0!</v>
      </c>
    </row>
    <row r="32" spans="1:22" s="86" customFormat="1" ht="15.75" customHeight="1">
      <c r="A32" s="105" t="s">
        <v>140</v>
      </c>
      <c r="B32" s="108" t="s">
        <v>109</v>
      </c>
      <c r="C32" s="80" t="s">
        <v>46</v>
      </c>
      <c r="D32" s="104">
        <f t="shared" si="9"/>
        <v>9.44</v>
      </c>
      <c r="E32" s="104">
        <v>2.6999999999999997</v>
      </c>
      <c r="F32" s="104">
        <v>0.06</v>
      </c>
      <c r="G32" s="104">
        <v>2.3740000000000001</v>
      </c>
      <c r="H32" s="104">
        <v>0.25</v>
      </c>
      <c r="I32" s="104">
        <v>0</v>
      </c>
      <c r="J32" s="104">
        <v>0</v>
      </c>
      <c r="K32" s="104">
        <v>0.183</v>
      </c>
      <c r="L32" s="104">
        <v>0.13</v>
      </c>
      <c r="M32" s="104">
        <v>0.95</v>
      </c>
      <c r="N32" s="104">
        <v>0.19</v>
      </c>
      <c r="O32" s="104">
        <v>1.49</v>
      </c>
      <c r="P32" s="104">
        <v>0.1</v>
      </c>
      <c r="Q32" s="104">
        <v>0</v>
      </c>
      <c r="R32" s="104">
        <v>0.253</v>
      </c>
      <c r="S32" s="104">
        <v>0.7599999999999999</v>
      </c>
      <c r="U32" s="88" t="e">
        <v>#DIV/0!</v>
      </c>
    </row>
    <row r="33" spans="1:21" s="25" customFormat="1" ht="15.75" customHeight="1">
      <c r="A33" s="105" t="s">
        <v>140</v>
      </c>
      <c r="B33" s="82" t="s">
        <v>1785</v>
      </c>
      <c r="C33" s="105" t="s">
        <v>51</v>
      </c>
      <c r="D33" s="104">
        <f t="shared" si="9"/>
        <v>0.47789999999999999</v>
      </c>
      <c r="E33" s="104">
        <v>0.47789999999999999</v>
      </c>
      <c r="F33" s="104">
        <v>0</v>
      </c>
      <c r="G33" s="104">
        <v>0</v>
      </c>
      <c r="H33" s="104">
        <v>0</v>
      </c>
      <c r="I33" s="104">
        <v>0</v>
      </c>
      <c r="J33" s="104">
        <v>0</v>
      </c>
      <c r="K33" s="104">
        <v>0</v>
      </c>
      <c r="L33" s="104">
        <v>0</v>
      </c>
      <c r="M33" s="104">
        <v>0</v>
      </c>
      <c r="N33" s="104">
        <v>0</v>
      </c>
      <c r="O33" s="104">
        <v>0</v>
      </c>
      <c r="P33" s="104">
        <v>0</v>
      </c>
      <c r="Q33" s="104">
        <v>0</v>
      </c>
      <c r="R33" s="104">
        <v>0</v>
      </c>
      <c r="S33" s="104">
        <v>0</v>
      </c>
      <c r="U33" s="87" t="e">
        <v>#DIV/0!</v>
      </c>
    </row>
    <row r="34" spans="1:21" s="25" customFormat="1" ht="15.75" customHeight="1">
      <c r="A34" s="105" t="s">
        <v>140</v>
      </c>
      <c r="B34" s="82" t="s">
        <v>111</v>
      </c>
      <c r="C34" s="105" t="s">
        <v>47</v>
      </c>
      <c r="D34" s="104">
        <f t="shared" si="9"/>
        <v>8.8929999999999971</v>
      </c>
      <c r="E34" s="104">
        <v>4.5299999999999994</v>
      </c>
      <c r="F34" s="104">
        <v>0.21000000000000002</v>
      </c>
      <c r="G34" s="104">
        <v>0.25</v>
      </c>
      <c r="H34" s="104">
        <v>1.03</v>
      </c>
      <c r="I34" s="104">
        <v>0.15</v>
      </c>
      <c r="J34" s="104">
        <v>0.15</v>
      </c>
      <c r="K34" s="104">
        <v>0.12</v>
      </c>
      <c r="L34" s="104">
        <v>0.22999999999999998</v>
      </c>
      <c r="M34" s="104">
        <v>0.14000000000000001</v>
      </c>
      <c r="N34" s="104">
        <v>0.08</v>
      </c>
      <c r="O34" s="104">
        <v>0.81</v>
      </c>
      <c r="P34" s="104">
        <v>0.78</v>
      </c>
      <c r="Q34" s="104">
        <v>0.183</v>
      </c>
      <c r="R34" s="104">
        <v>0.12</v>
      </c>
      <c r="S34" s="104">
        <v>0.11000000000000001</v>
      </c>
      <c r="U34" s="87" t="e">
        <v>#DIV/0!</v>
      </c>
    </row>
    <row r="35" spans="1:21" s="86" customFormat="1" ht="15.75" customHeight="1">
      <c r="A35" s="105" t="s">
        <v>140</v>
      </c>
      <c r="B35" s="82" t="s">
        <v>166</v>
      </c>
      <c r="C35" s="105" t="s">
        <v>48</v>
      </c>
      <c r="D35" s="104">
        <f t="shared" si="9"/>
        <v>77.584399999999988</v>
      </c>
      <c r="E35" s="104">
        <v>19.288399999999999</v>
      </c>
      <c r="F35" s="104">
        <v>7.88</v>
      </c>
      <c r="G35" s="104">
        <v>2.0339999999999998</v>
      </c>
      <c r="H35" s="104">
        <v>9.6440000000000001</v>
      </c>
      <c r="I35" s="104">
        <v>1.66</v>
      </c>
      <c r="J35" s="104">
        <v>2.59</v>
      </c>
      <c r="K35" s="104">
        <v>8.3339999999999996</v>
      </c>
      <c r="L35" s="104">
        <v>1.92</v>
      </c>
      <c r="M35" s="104">
        <v>3.2299999999999995</v>
      </c>
      <c r="N35" s="104">
        <v>2.5339999999999998</v>
      </c>
      <c r="O35" s="104">
        <v>4.8899999999999997</v>
      </c>
      <c r="P35" s="104">
        <v>4.24</v>
      </c>
      <c r="Q35" s="104">
        <v>1.79</v>
      </c>
      <c r="R35" s="104">
        <v>3.0300000000000002</v>
      </c>
      <c r="S35" s="104">
        <v>4.5200000000000005</v>
      </c>
      <c r="U35" s="87" t="e">
        <v>#DIV/0!</v>
      </c>
    </row>
    <row r="36" spans="1:21" s="25" customFormat="1" ht="15.75" customHeight="1">
      <c r="A36" s="105" t="s">
        <v>140</v>
      </c>
      <c r="B36" s="82" t="s">
        <v>1786</v>
      </c>
      <c r="C36" s="105" t="s">
        <v>49</v>
      </c>
      <c r="D36" s="104">
        <f t="shared" si="9"/>
        <v>10.351999999999999</v>
      </c>
      <c r="E36" s="104">
        <v>2.5099999999999998</v>
      </c>
      <c r="F36" s="104">
        <v>0.78</v>
      </c>
      <c r="G36" s="104">
        <v>0.31</v>
      </c>
      <c r="H36" s="104">
        <v>1.256</v>
      </c>
      <c r="I36" s="104">
        <v>0.23</v>
      </c>
      <c r="J36" s="104">
        <v>2.35</v>
      </c>
      <c r="K36" s="104">
        <v>0.27600000000000002</v>
      </c>
      <c r="L36" s="104">
        <v>0</v>
      </c>
      <c r="M36" s="104">
        <v>0</v>
      </c>
      <c r="N36" s="104">
        <v>1.35</v>
      </c>
      <c r="O36" s="104">
        <v>0.49</v>
      </c>
      <c r="P36" s="104">
        <v>0.37</v>
      </c>
      <c r="Q36" s="104">
        <v>0</v>
      </c>
      <c r="R36" s="104">
        <v>0</v>
      </c>
      <c r="S36" s="104">
        <v>0.43000000000000005</v>
      </c>
      <c r="U36" s="87"/>
    </row>
    <row r="37" spans="1:21" s="86" customFormat="1" ht="15.75" customHeight="1">
      <c r="A37" s="105" t="s">
        <v>140</v>
      </c>
      <c r="B37" s="82" t="s">
        <v>113</v>
      </c>
      <c r="C37" s="105" t="s">
        <v>50</v>
      </c>
      <c r="D37" s="104">
        <f t="shared" si="9"/>
        <v>0</v>
      </c>
      <c r="E37" s="104"/>
      <c r="F37" s="104"/>
      <c r="G37" s="104"/>
      <c r="H37" s="104"/>
      <c r="I37" s="104"/>
      <c r="J37" s="104"/>
      <c r="K37" s="104"/>
      <c r="L37" s="104"/>
      <c r="M37" s="104"/>
      <c r="N37" s="104"/>
      <c r="O37" s="104"/>
      <c r="P37" s="104"/>
      <c r="Q37" s="104"/>
      <c r="R37" s="104"/>
      <c r="S37" s="104"/>
      <c r="U37" s="87" t="e">
        <v>#DIV/0!</v>
      </c>
    </row>
    <row r="38" spans="1:21" s="86" customFormat="1" ht="15.75" customHeight="1">
      <c r="A38" s="105" t="s">
        <v>140</v>
      </c>
      <c r="B38" s="82" t="s">
        <v>1787</v>
      </c>
      <c r="C38" s="105" t="s">
        <v>1812</v>
      </c>
      <c r="D38" s="104">
        <f t="shared" si="9"/>
        <v>0</v>
      </c>
      <c r="E38" s="104"/>
      <c r="F38" s="104"/>
      <c r="G38" s="104"/>
      <c r="H38" s="104"/>
      <c r="I38" s="104"/>
      <c r="J38" s="104"/>
      <c r="K38" s="104"/>
      <c r="L38" s="104"/>
      <c r="M38" s="104"/>
      <c r="N38" s="104"/>
      <c r="O38" s="104"/>
      <c r="P38" s="104"/>
      <c r="Q38" s="104"/>
      <c r="R38" s="104"/>
      <c r="S38" s="104"/>
      <c r="U38" s="87" t="e">
        <v>#DIV/0!</v>
      </c>
    </row>
    <row r="39" spans="1:21" s="25" customFormat="1" ht="15.75" customHeight="1">
      <c r="A39" s="105" t="s">
        <v>140</v>
      </c>
      <c r="B39" s="82" t="s">
        <v>1788</v>
      </c>
      <c r="C39" s="105" t="s">
        <v>1813</v>
      </c>
      <c r="D39" s="104">
        <f t="shared" si="9"/>
        <v>0</v>
      </c>
      <c r="E39" s="104"/>
      <c r="F39" s="104"/>
      <c r="G39" s="104"/>
      <c r="H39" s="104"/>
      <c r="I39" s="104"/>
      <c r="J39" s="104"/>
      <c r="K39" s="104"/>
      <c r="L39" s="104"/>
      <c r="M39" s="104"/>
      <c r="N39" s="104"/>
      <c r="O39" s="104"/>
      <c r="P39" s="104"/>
      <c r="Q39" s="104"/>
      <c r="R39" s="104"/>
      <c r="S39" s="104"/>
      <c r="U39" s="88" t="e">
        <v>#DIV/0!</v>
      </c>
    </row>
    <row r="40" spans="1:21" s="25" customFormat="1" ht="15.75" customHeight="1">
      <c r="A40" s="105" t="s">
        <v>140</v>
      </c>
      <c r="B40" s="82" t="s">
        <v>97</v>
      </c>
      <c r="C40" s="105" t="s">
        <v>98</v>
      </c>
      <c r="D40" s="104">
        <f t="shared" si="9"/>
        <v>0</v>
      </c>
      <c r="E40" s="104"/>
      <c r="F40" s="104"/>
      <c r="G40" s="104"/>
      <c r="H40" s="104"/>
      <c r="I40" s="104"/>
      <c r="J40" s="104"/>
      <c r="K40" s="104"/>
      <c r="L40" s="104"/>
      <c r="M40" s="104"/>
      <c r="N40" s="104"/>
      <c r="O40" s="104"/>
      <c r="P40" s="104"/>
      <c r="Q40" s="104"/>
      <c r="R40" s="104"/>
      <c r="S40" s="104"/>
      <c r="U40" s="87" t="e">
        <v>#DIV/0!</v>
      </c>
    </row>
    <row r="41" spans="1:21" s="86" customFormat="1" ht="15.75" customHeight="1">
      <c r="A41" s="105" t="s">
        <v>140</v>
      </c>
      <c r="B41" s="82" t="s">
        <v>114</v>
      </c>
      <c r="C41" s="105" t="s">
        <v>116</v>
      </c>
      <c r="D41" s="104">
        <f t="shared" si="9"/>
        <v>0</v>
      </c>
      <c r="E41" s="104"/>
      <c r="F41" s="104"/>
      <c r="G41" s="104"/>
      <c r="H41" s="104"/>
      <c r="I41" s="104"/>
      <c r="J41" s="104"/>
      <c r="K41" s="104"/>
      <c r="L41" s="104"/>
      <c r="M41" s="104"/>
      <c r="N41" s="104"/>
      <c r="O41" s="104"/>
      <c r="P41" s="104"/>
      <c r="Q41" s="104"/>
      <c r="R41" s="104"/>
      <c r="S41" s="104"/>
      <c r="U41" s="87" t="e">
        <v>#DIV/0!</v>
      </c>
    </row>
    <row r="42" spans="1:21" s="86" customFormat="1" ht="15.75" customHeight="1">
      <c r="A42" s="105" t="s">
        <v>67</v>
      </c>
      <c r="B42" s="82" t="s">
        <v>1789</v>
      </c>
      <c r="C42" s="105" t="s">
        <v>155</v>
      </c>
      <c r="D42" s="104">
        <f>SUM(D43:D48)</f>
        <v>2662.1342665600114</v>
      </c>
      <c r="E42" s="104">
        <f t="shared" ref="E42:S42" si="10">SUM(E43:E48)</f>
        <v>229.61956454121307</v>
      </c>
      <c r="F42" s="104">
        <f t="shared" si="10"/>
        <v>6.1040000000000001</v>
      </c>
      <c r="G42" s="104">
        <f t="shared" si="10"/>
        <v>110.316</v>
      </c>
      <c r="H42" s="104">
        <f t="shared" si="10"/>
        <v>412.12400000000002</v>
      </c>
      <c r="I42" s="104">
        <f t="shared" si="10"/>
        <v>54.225999999999992</v>
      </c>
      <c r="J42" s="104">
        <f t="shared" si="10"/>
        <v>61.245999999999988</v>
      </c>
      <c r="K42" s="104">
        <f t="shared" si="10"/>
        <v>19.009999999999998</v>
      </c>
      <c r="L42" s="104">
        <f t="shared" si="10"/>
        <v>4.2540000000000004</v>
      </c>
      <c r="M42" s="104">
        <f t="shared" si="10"/>
        <v>3.6779999999999999</v>
      </c>
      <c r="N42" s="104">
        <f t="shared" si="10"/>
        <v>10.3</v>
      </c>
      <c r="O42" s="104">
        <f t="shared" si="10"/>
        <v>32.116</v>
      </c>
      <c r="P42" s="104">
        <f t="shared" si="10"/>
        <v>605.34626136625786</v>
      </c>
      <c r="Q42" s="104">
        <f t="shared" si="10"/>
        <v>1.1320000000000001</v>
      </c>
      <c r="R42" s="104">
        <f t="shared" si="10"/>
        <v>1100.1384406525406</v>
      </c>
      <c r="S42" s="104">
        <f t="shared" si="10"/>
        <v>12.523999999999997</v>
      </c>
      <c r="U42" s="87" t="e">
        <v>#DIV/0!</v>
      </c>
    </row>
    <row r="43" spans="1:21" s="25" customFormat="1" ht="15.75" customHeight="1">
      <c r="A43" s="105" t="s">
        <v>140</v>
      </c>
      <c r="B43" s="82" t="s">
        <v>66</v>
      </c>
      <c r="C43" s="105" t="s">
        <v>30</v>
      </c>
      <c r="D43" s="104">
        <f t="shared" ref="D43:D48" si="11">SUM(E43:S43)</f>
        <v>1779.507564541213</v>
      </c>
      <c r="E43" s="104">
        <v>195.20956454121307</v>
      </c>
      <c r="F43" s="104">
        <v>0</v>
      </c>
      <c r="G43" s="104">
        <v>0</v>
      </c>
      <c r="H43" s="104">
        <v>401.87200000000001</v>
      </c>
      <c r="I43" s="104">
        <v>0</v>
      </c>
      <c r="J43" s="104">
        <v>0</v>
      </c>
      <c r="K43" s="104">
        <v>0</v>
      </c>
      <c r="L43" s="104">
        <v>0</v>
      </c>
      <c r="M43" s="104">
        <v>0</v>
      </c>
      <c r="N43" s="104">
        <v>0</v>
      </c>
      <c r="O43" s="104">
        <v>0</v>
      </c>
      <c r="P43" s="104">
        <v>169.02600000000001</v>
      </c>
      <c r="Q43" s="104">
        <v>0</v>
      </c>
      <c r="R43" s="104">
        <v>1013.4</v>
      </c>
      <c r="S43" s="104">
        <v>0</v>
      </c>
      <c r="U43" s="87" t="e">
        <v>#DIV/0!</v>
      </c>
    </row>
    <row r="44" spans="1:21" s="25" customFormat="1" ht="15.75" customHeight="1">
      <c r="A44" s="105" t="s">
        <v>140</v>
      </c>
      <c r="B44" s="82" t="s">
        <v>86</v>
      </c>
      <c r="C44" s="105" t="s">
        <v>87</v>
      </c>
      <c r="D44" s="104">
        <f t="shared" si="11"/>
        <v>466.214</v>
      </c>
      <c r="E44" s="104">
        <v>0</v>
      </c>
      <c r="F44" s="104">
        <v>0</v>
      </c>
      <c r="G44" s="104">
        <v>92</v>
      </c>
      <c r="H44" s="104">
        <v>0</v>
      </c>
      <c r="I44" s="104">
        <v>49.999999999999993</v>
      </c>
      <c r="J44" s="104">
        <v>58.123999999999988</v>
      </c>
      <c r="K44" s="104">
        <v>0</v>
      </c>
      <c r="L44" s="104">
        <v>0</v>
      </c>
      <c r="M44" s="104">
        <v>0</v>
      </c>
      <c r="N44" s="104">
        <v>0</v>
      </c>
      <c r="O44" s="104">
        <v>0</v>
      </c>
      <c r="P44" s="104">
        <v>194.89</v>
      </c>
      <c r="Q44" s="104">
        <v>0</v>
      </c>
      <c r="R44" s="104">
        <v>71.2</v>
      </c>
      <c r="S44" s="104">
        <v>0</v>
      </c>
      <c r="U44" s="88" t="e">
        <v>#DIV/0!</v>
      </c>
    </row>
    <row r="45" spans="1:21" s="25" customFormat="1" ht="15.75" customHeight="1">
      <c r="A45" s="105" t="s">
        <v>140</v>
      </c>
      <c r="B45" s="82" t="s">
        <v>1790</v>
      </c>
      <c r="C45" s="105" t="s">
        <v>1814</v>
      </c>
      <c r="D45" s="104">
        <f t="shared" si="11"/>
        <v>0</v>
      </c>
      <c r="E45" s="104"/>
      <c r="F45" s="104"/>
      <c r="G45" s="104"/>
      <c r="H45" s="104"/>
      <c r="I45" s="104"/>
      <c r="J45" s="104"/>
      <c r="K45" s="104"/>
      <c r="L45" s="104"/>
      <c r="M45" s="104"/>
      <c r="N45" s="104"/>
      <c r="O45" s="104"/>
      <c r="P45" s="104"/>
      <c r="Q45" s="104"/>
      <c r="R45" s="104"/>
      <c r="S45" s="104"/>
      <c r="U45" s="87"/>
    </row>
    <row r="46" spans="1:21" s="86" customFormat="1" ht="15.75" customHeight="1">
      <c r="A46" s="105" t="s">
        <v>140</v>
      </c>
      <c r="B46" s="108" t="s">
        <v>204</v>
      </c>
      <c r="C46" s="80" t="s">
        <v>88</v>
      </c>
      <c r="D46" s="104">
        <f t="shared" si="11"/>
        <v>276.75270201879857</v>
      </c>
      <c r="E46" s="104">
        <v>16.479999999999997</v>
      </c>
      <c r="F46" s="104">
        <v>1.974</v>
      </c>
      <c r="G46" s="104">
        <v>5.2860000000000005</v>
      </c>
      <c r="H46" s="104">
        <v>4.6560000000000006</v>
      </c>
      <c r="I46" s="104">
        <v>0.502</v>
      </c>
      <c r="J46" s="104">
        <v>0.746</v>
      </c>
      <c r="K46" s="104">
        <v>2.54</v>
      </c>
      <c r="L46" s="104">
        <v>0.9</v>
      </c>
      <c r="M46" s="104">
        <v>1.464</v>
      </c>
      <c r="N46" s="104">
        <v>1.99</v>
      </c>
      <c r="O46" s="104">
        <v>5.9860000000000007</v>
      </c>
      <c r="P46" s="104">
        <v>221.63826136625778</v>
      </c>
      <c r="Q46" s="104">
        <v>1.1320000000000001</v>
      </c>
      <c r="R46" s="104">
        <v>9.5084406525407843</v>
      </c>
      <c r="S46" s="104">
        <v>1.9500000000000002</v>
      </c>
      <c r="U46" s="88" t="e">
        <v>#DIV/0!</v>
      </c>
    </row>
    <row r="47" spans="1:21" s="86" customFormat="1" ht="15.75" customHeight="1">
      <c r="A47" s="105" t="s">
        <v>140</v>
      </c>
      <c r="B47" s="108" t="s">
        <v>89</v>
      </c>
      <c r="C47" s="80" t="s">
        <v>32</v>
      </c>
      <c r="D47" s="104">
        <f t="shared" si="11"/>
        <v>139.66000000000003</v>
      </c>
      <c r="E47" s="104">
        <v>17.93</v>
      </c>
      <c r="F47" s="104">
        <v>4.13</v>
      </c>
      <c r="G47" s="104">
        <v>13.03</v>
      </c>
      <c r="H47" s="104">
        <v>5.596000000000001</v>
      </c>
      <c r="I47" s="104">
        <v>3.7239999999999998</v>
      </c>
      <c r="J47" s="104">
        <v>2.3759999999999999</v>
      </c>
      <c r="K47" s="104">
        <v>16.47</v>
      </c>
      <c r="L47" s="104">
        <v>3.3540000000000001</v>
      </c>
      <c r="M47" s="104">
        <v>2.214</v>
      </c>
      <c r="N47" s="104">
        <v>8.31</v>
      </c>
      <c r="O47" s="104">
        <v>26.130000000000003</v>
      </c>
      <c r="P47" s="104">
        <v>19.791999999999998</v>
      </c>
      <c r="Q47" s="104">
        <v>0</v>
      </c>
      <c r="R47" s="104">
        <v>6.0299999999999994</v>
      </c>
      <c r="S47" s="104">
        <v>10.573999999999998</v>
      </c>
      <c r="U47" s="87" t="e">
        <v>#DIV/0!</v>
      </c>
    </row>
    <row r="48" spans="1:21" s="86" customFormat="1" ht="15.75" customHeight="1">
      <c r="A48" s="105" t="s">
        <v>140</v>
      </c>
      <c r="B48" s="82" t="s">
        <v>94</v>
      </c>
      <c r="C48" s="105" t="s">
        <v>34</v>
      </c>
      <c r="D48" s="104">
        <f t="shared" si="11"/>
        <v>0</v>
      </c>
      <c r="E48" s="104"/>
      <c r="F48" s="104"/>
      <c r="G48" s="104"/>
      <c r="H48" s="104"/>
      <c r="I48" s="104"/>
      <c r="J48" s="104"/>
      <c r="K48" s="104"/>
      <c r="L48" s="104"/>
      <c r="M48" s="104"/>
      <c r="N48" s="104"/>
      <c r="O48" s="104"/>
      <c r="P48" s="104"/>
      <c r="Q48" s="104"/>
      <c r="R48" s="104"/>
      <c r="S48" s="104"/>
      <c r="U48" s="91" t="e">
        <v>#DIV/0!</v>
      </c>
    </row>
    <row r="49" spans="1:21" s="86" customFormat="1" ht="15.75" customHeight="1">
      <c r="A49" s="105" t="s">
        <v>68</v>
      </c>
      <c r="B49" s="82" t="s">
        <v>1791</v>
      </c>
      <c r="C49" s="105" t="s">
        <v>156</v>
      </c>
      <c r="D49" s="104">
        <f>SUM(D51:D60)</f>
        <v>1136.6032520000001</v>
      </c>
      <c r="E49" s="104">
        <f t="shared" ref="E49:S49" si="12">SUM(E51:E60)</f>
        <v>168.08043333333333</v>
      </c>
      <c r="F49" s="104">
        <f t="shared" si="12"/>
        <v>44.676249999999996</v>
      </c>
      <c r="G49" s="104">
        <f t="shared" si="12"/>
        <v>44.24409009009009</v>
      </c>
      <c r="H49" s="104">
        <f t="shared" si="12"/>
        <v>164.78009009009008</v>
      </c>
      <c r="I49" s="104">
        <f t="shared" si="12"/>
        <v>21.329945945945948</v>
      </c>
      <c r="J49" s="104">
        <f t="shared" si="12"/>
        <v>34.405333333333338</v>
      </c>
      <c r="K49" s="104">
        <f t="shared" si="12"/>
        <v>52.816000000000003</v>
      </c>
      <c r="L49" s="104">
        <f t="shared" si="12"/>
        <v>22.138207207207206</v>
      </c>
      <c r="M49" s="104">
        <f t="shared" si="12"/>
        <v>67.078416666666669</v>
      </c>
      <c r="N49" s="104">
        <f t="shared" si="12"/>
        <v>52.651135135135135</v>
      </c>
      <c r="O49" s="104">
        <f t="shared" si="12"/>
        <v>110.55426126126129</v>
      </c>
      <c r="P49" s="104">
        <f t="shared" si="12"/>
        <v>121.07741551351351</v>
      </c>
      <c r="Q49" s="104">
        <f t="shared" si="12"/>
        <v>55.125666666666675</v>
      </c>
      <c r="R49" s="104">
        <f t="shared" si="12"/>
        <v>94.963006756756769</v>
      </c>
      <c r="S49" s="104">
        <f t="shared" si="12"/>
        <v>82.683000000000021</v>
      </c>
      <c r="U49" s="87" t="e">
        <v>#DIV/0!</v>
      </c>
    </row>
    <row r="50" spans="1:21" s="86" customFormat="1" ht="15.75" customHeight="1">
      <c r="A50" s="105"/>
      <c r="B50" s="82" t="s">
        <v>176</v>
      </c>
      <c r="C50" s="105"/>
      <c r="D50" s="104">
        <f t="shared" ref="D50:D82" si="13">SUM(E50:S50)</f>
        <v>0</v>
      </c>
      <c r="E50" s="104"/>
      <c r="F50" s="104"/>
      <c r="G50" s="104"/>
      <c r="H50" s="104"/>
      <c r="I50" s="104"/>
      <c r="J50" s="104"/>
      <c r="K50" s="104"/>
      <c r="L50" s="104"/>
      <c r="M50" s="104"/>
      <c r="N50" s="104"/>
      <c r="O50" s="104"/>
      <c r="P50" s="104"/>
      <c r="Q50" s="104"/>
      <c r="R50" s="104"/>
      <c r="S50" s="104"/>
      <c r="U50" s="87"/>
    </row>
    <row r="51" spans="1:21" s="86" customFormat="1" ht="15.75" customHeight="1">
      <c r="A51" s="105" t="s">
        <v>140</v>
      </c>
      <c r="B51" s="82" t="s">
        <v>1792</v>
      </c>
      <c r="C51" s="105" t="s">
        <v>42</v>
      </c>
      <c r="D51" s="104">
        <f t="shared" si="13"/>
        <v>984.23715200000004</v>
      </c>
      <c r="E51" s="104">
        <v>163.14333333333332</v>
      </c>
      <c r="F51" s="104">
        <v>42.920250000000003</v>
      </c>
      <c r="G51" s="104">
        <v>43.764090090090093</v>
      </c>
      <c r="H51" s="104">
        <v>150.2600900900901</v>
      </c>
      <c r="I51" s="104">
        <v>21.219945945945945</v>
      </c>
      <c r="J51" s="104">
        <v>31.753333333333334</v>
      </c>
      <c r="K51" s="104">
        <v>52.566000000000003</v>
      </c>
      <c r="L51" s="104">
        <v>21.892207207207207</v>
      </c>
      <c r="M51" s="104">
        <v>60.450416666666669</v>
      </c>
      <c r="N51" s="104">
        <v>52.255135135135134</v>
      </c>
      <c r="O51" s="104">
        <v>95.711261261261271</v>
      </c>
      <c r="P51" s="104">
        <v>32.525415513513515</v>
      </c>
      <c r="Q51" s="104">
        <v>54.835666666666668</v>
      </c>
      <c r="R51" s="104">
        <v>91.726006756756746</v>
      </c>
      <c r="S51" s="104">
        <v>69.214000000000013</v>
      </c>
      <c r="U51" s="87"/>
    </row>
    <row r="52" spans="1:21" s="86" customFormat="1" ht="15.75" customHeight="1">
      <c r="A52" s="105" t="s">
        <v>140</v>
      </c>
      <c r="B52" s="108" t="s">
        <v>1793</v>
      </c>
      <c r="C52" s="80" t="s">
        <v>43</v>
      </c>
      <c r="D52" s="104">
        <f t="shared" si="13"/>
        <v>0.96000000000000019</v>
      </c>
      <c r="E52" s="104">
        <v>0.38</v>
      </c>
      <c r="F52" s="104">
        <v>0</v>
      </c>
      <c r="G52" s="104">
        <v>0</v>
      </c>
      <c r="H52" s="104">
        <v>0.16999999999999998</v>
      </c>
      <c r="I52" s="104">
        <v>0</v>
      </c>
      <c r="J52" s="104">
        <v>0.03</v>
      </c>
      <c r="K52" s="104">
        <v>0.06</v>
      </c>
      <c r="L52" s="104">
        <v>0</v>
      </c>
      <c r="M52" s="104">
        <v>0</v>
      </c>
      <c r="N52" s="104">
        <v>0</v>
      </c>
      <c r="O52" s="104">
        <v>0.15</v>
      </c>
      <c r="P52" s="104">
        <v>0.17</v>
      </c>
      <c r="Q52" s="104">
        <v>0</v>
      </c>
      <c r="R52" s="104">
        <v>0</v>
      </c>
      <c r="S52" s="104">
        <v>0</v>
      </c>
      <c r="U52" s="87" t="e">
        <v>#DIV/0!</v>
      </c>
    </row>
    <row r="53" spans="1:21" s="86" customFormat="1" ht="15.75" customHeight="1">
      <c r="A53" s="105" t="s">
        <v>140</v>
      </c>
      <c r="B53" s="108" t="s">
        <v>1794</v>
      </c>
      <c r="C53" s="80" t="s">
        <v>1815</v>
      </c>
      <c r="D53" s="104">
        <f t="shared" si="13"/>
        <v>0</v>
      </c>
      <c r="E53" s="104"/>
      <c r="F53" s="104"/>
      <c r="G53" s="104"/>
      <c r="H53" s="104"/>
      <c r="I53" s="104"/>
      <c r="J53" s="104"/>
      <c r="K53" s="104"/>
      <c r="L53" s="104"/>
      <c r="M53" s="104"/>
      <c r="N53" s="104"/>
      <c r="O53" s="104"/>
      <c r="P53" s="104"/>
      <c r="Q53" s="104"/>
      <c r="R53" s="104"/>
      <c r="S53" s="104"/>
      <c r="U53" s="91" t="e">
        <v>#DIV/0!</v>
      </c>
    </row>
    <row r="54" spans="1:21" s="86" customFormat="1" ht="15.75" customHeight="1">
      <c r="A54" s="105" t="s">
        <v>140</v>
      </c>
      <c r="B54" s="82" t="s">
        <v>1795</v>
      </c>
      <c r="C54" s="105" t="s">
        <v>1816</v>
      </c>
      <c r="D54" s="104">
        <f t="shared" si="13"/>
        <v>0</v>
      </c>
      <c r="E54" s="104"/>
      <c r="F54" s="104"/>
      <c r="G54" s="104"/>
      <c r="H54" s="104"/>
      <c r="I54" s="104"/>
      <c r="J54" s="104"/>
      <c r="K54" s="104"/>
      <c r="L54" s="104"/>
      <c r="M54" s="104"/>
      <c r="N54" s="104"/>
      <c r="O54" s="104"/>
      <c r="P54" s="104"/>
      <c r="Q54" s="104"/>
      <c r="R54" s="104"/>
      <c r="S54" s="104"/>
      <c r="U54" s="87" t="e">
        <v>#DIV/0!</v>
      </c>
    </row>
    <row r="55" spans="1:21" s="86" customFormat="1" ht="15.75" customHeight="1">
      <c r="A55" s="105" t="s">
        <v>140</v>
      </c>
      <c r="B55" s="82" t="s">
        <v>1796</v>
      </c>
      <c r="C55" s="105" t="s">
        <v>1817</v>
      </c>
      <c r="D55" s="104">
        <f t="shared" si="13"/>
        <v>1.64</v>
      </c>
      <c r="E55" s="104">
        <v>0.08</v>
      </c>
      <c r="F55" s="104">
        <v>0</v>
      </c>
      <c r="G55" s="104">
        <v>0</v>
      </c>
      <c r="H55" s="104">
        <v>0</v>
      </c>
      <c r="I55" s="104">
        <v>0</v>
      </c>
      <c r="J55" s="104">
        <v>0</v>
      </c>
      <c r="K55" s="104">
        <v>0</v>
      </c>
      <c r="L55" s="104">
        <v>0</v>
      </c>
      <c r="M55" s="104">
        <v>0</v>
      </c>
      <c r="N55" s="104">
        <v>0.13</v>
      </c>
      <c r="O55" s="104">
        <v>0.183</v>
      </c>
      <c r="P55" s="104">
        <v>7.0000000000000007E-2</v>
      </c>
      <c r="Q55" s="104">
        <v>0.17</v>
      </c>
      <c r="R55" s="104">
        <v>1.0069999999999999</v>
      </c>
      <c r="S55" s="104">
        <v>0</v>
      </c>
      <c r="U55" s="87" t="e">
        <v>#DIV/0!</v>
      </c>
    </row>
    <row r="56" spans="1:21" s="86" customFormat="1" ht="15.75" customHeight="1">
      <c r="A56" s="105" t="s">
        <v>140</v>
      </c>
      <c r="B56" s="108" t="s">
        <v>1797</v>
      </c>
      <c r="C56" s="80" t="s">
        <v>36</v>
      </c>
      <c r="D56" s="104">
        <f t="shared" si="13"/>
        <v>0.13</v>
      </c>
      <c r="E56" s="104">
        <v>0</v>
      </c>
      <c r="F56" s="104">
        <v>0</v>
      </c>
      <c r="G56" s="104">
        <v>0</v>
      </c>
      <c r="H56" s="104">
        <v>0.09</v>
      </c>
      <c r="I56" s="104">
        <v>0</v>
      </c>
      <c r="J56" s="104">
        <v>0</v>
      </c>
      <c r="K56" s="104">
        <v>0</v>
      </c>
      <c r="L56" s="104">
        <v>0</v>
      </c>
      <c r="M56" s="104">
        <v>0.04</v>
      </c>
      <c r="N56" s="104">
        <v>0</v>
      </c>
      <c r="O56" s="104">
        <v>0</v>
      </c>
      <c r="P56" s="104">
        <v>0</v>
      </c>
      <c r="Q56" s="104">
        <v>0</v>
      </c>
      <c r="R56" s="104">
        <v>0</v>
      </c>
      <c r="S56" s="104">
        <v>0</v>
      </c>
      <c r="U56" s="87" t="e">
        <v>#DIV/0!</v>
      </c>
    </row>
    <row r="57" spans="1:21" s="86" customFormat="1" ht="15.75" customHeight="1">
      <c r="A57" s="105" t="s">
        <v>140</v>
      </c>
      <c r="B57" s="108" t="s">
        <v>1798</v>
      </c>
      <c r="C57" s="80" t="s">
        <v>44</v>
      </c>
      <c r="D57" s="104">
        <f t="shared" si="13"/>
        <v>108.866</v>
      </c>
      <c r="E57" s="104">
        <v>1.05</v>
      </c>
      <c r="F57" s="104">
        <v>1.1020000000000001</v>
      </c>
      <c r="G57" s="104">
        <v>0.04</v>
      </c>
      <c r="H57" s="104">
        <v>1.004</v>
      </c>
      <c r="I57" s="104">
        <v>0</v>
      </c>
      <c r="J57" s="104">
        <v>0</v>
      </c>
      <c r="K57" s="104">
        <v>7.0000000000000007E-2</v>
      </c>
      <c r="L57" s="104">
        <v>0</v>
      </c>
      <c r="M57" s="104">
        <v>5.9279999999999999</v>
      </c>
      <c r="N57" s="104">
        <v>0.04</v>
      </c>
      <c r="O57" s="104">
        <v>0</v>
      </c>
      <c r="P57" s="104">
        <v>85.671999999999997</v>
      </c>
      <c r="Q57" s="104">
        <v>0</v>
      </c>
      <c r="R57" s="104">
        <v>0.64999999999999991</v>
      </c>
      <c r="S57" s="104">
        <v>13.309999999999999</v>
      </c>
      <c r="U57" s="87" t="e">
        <v>#DIV/0!</v>
      </c>
    </row>
    <row r="58" spans="1:21" s="86" customFormat="1" ht="15.75" customHeight="1">
      <c r="A58" s="105" t="s">
        <v>140</v>
      </c>
      <c r="B58" s="108" t="s">
        <v>1799</v>
      </c>
      <c r="C58" s="80" t="s">
        <v>45</v>
      </c>
      <c r="D58" s="104">
        <f t="shared" si="13"/>
        <v>0.63200000000000012</v>
      </c>
      <c r="E58" s="104">
        <v>0.1</v>
      </c>
      <c r="F58" s="104">
        <v>0</v>
      </c>
      <c r="G58" s="104">
        <v>0.15</v>
      </c>
      <c r="H58" s="104">
        <v>0</v>
      </c>
      <c r="I58" s="104">
        <v>0.01</v>
      </c>
      <c r="J58" s="104">
        <v>2.5999999999999999E-2</v>
      </c>
      <c r="K58" s="104">
        <v>0</v>
      </c>
      <c r="L58" s="104">
        <v>2.5999999999999999E-2</v>
      </c>
      <c r="M58" s="104">
        <v>0</v>
      </c>
      <c r="N58" s="104">
        <v>0.17599999999999999</v>
      </c>
      <c r="O58" s="104">
        <v>0.03</v>
      </c>
      <c r="P58" s="104">
        <v>0</v>
      </c>
      <c r="Q58" s="104">
        <v>0.03</v>
      </c>
      <c r="R58" s="104">
        <v>0.03</v>
      </c>
      <c r="S58" s="104">
        <v>5.4000000000000006E-2</v>
      </c>
      <c r="U58" s="87" t="e">
        <v>#DIV/0!</v>
      </c>
    </row>
    <row r="59" spans="1:21" s="86" customFormat="1" ht="15.75" customHeight="1">
      <c r="A59" s="105" t="s">
        <v>140</v>
      </c>
      <c r="B59" s="108" t="s">
        <v>1800</v>
      </c>
      <c r="C59" s="80" t="s">
        <v>52</v>
      </c>
      <c r="D59" s="104">
        <f t="shared" si="13"/>
        <v>3.1080000000000001</v>
      </c>
      <c r="E59" s="104">
        <v>0.89400000000000002</v>
      </c>
      <c r="F59" s="104">
        <v>0.47399999999999998</v>
      </c>
      <c r="G59" s="104">
        <v>0</v>
      </c>
      <c r="H59" s="104">
        <v>0</v>
      </c>
      <c r="I59" s="104">
        <v>0</v>
      </c>
      <c r="J59" s="104">
        <v>0.14000000000000001</v>
      </c>
      <c r="K59" s="104">
        <v>0</v>
      </c>
      <c r="L59" s="104">
        <v>0</v>
      </c>
      <c r="M59" s="104">
        <v>7.0000000000000007E-2</v>
      </c>
      <c r="N59" s="104">
        <v>0</v>
      </c>
      <c r="O59" s="104">
        <v>0</v>
      </c>
      <c r="P59" s="104">
        <v>0.46</v>
      </c>
      <c r="Q59" s="104">
        <v>0.03</v>
      </c>
      <c r="R59" s="104">
        <v>1.04</v>
      </c>
      <c r="S59" s="104">
        <v>0</v>
      </c>
      <c r="U59" s="88" t="e">
        <v>#DIV/0!</v>
      </c>
    </row>
    <row r="60" spans="1:21" s="86" customFormat="1" ht="15.75" customHeight="1">
      <c r="A60" s="105" t="s">
        <v>140</v>
      </c>
      <c r="B60" s="108" t="s">
        <v>1801</v>
      </c>
      <c r="C60" s="80" t="s">
        <v>101</v>
      </c>
      <c r="D60" s="104">
        <f t="shared" si="13"/>
        <v>37.030099999999997</v>
      </c>
      <c r="E60" s="104">
        <v>2.4330999999999996</v>
      </c>
      <c r="F60" s="104">
        <v>0.18</v>
      </c>
      <c r="G60" s="104">
        <v>0.28999999999999998</v>
      </c>
      <c r="H60" s="104">
        <v>13.256</v>
      </c>
      <c r="I60" s="104">
        <v>0.1</v>
      </c>
      <c r="J60" s="104">
        <v>2.4560000000000004</v>
      </c>
      <c r="K60" s="104">
        <v>0.12</v>
      </c>
      <c r="L60" s="104">
        <v>0.22</v>
      </c>
      <c r="M60" s="104">
        <v>0.59</v>
      </c>
      <c r="N60" s="104">
        <v>0.05</v>
      </c>
      <c r="O60" s="104">
        <v>14.48</v>
      </c>
      <c r="P60" s="104">
        <v>2.1800000000000002</v>
      </c>
      <c r="Q60" s="104">
        <v>0.06</v>
      </c>
      <c r="R60" s="104">
        <v>0.51</v>
      </c>
      <c r="S60" s="104">
        <v>0.105</v>
      </c>
      <c r="U60" s="87"/>
    </row>
    <row r="61" spans="1:21" s="86" customFormat="1" ht="15.75" customHeight="1">
      <c r="A61" s="109" t="s">
        <v>69</v>
      </c>
      <c r="B61" s="108" t="s">
        <v>1802</v>
      </c>
      <c r="C61" s="80" t="s">
        <v>37</v>
      </c>
      <c r="D61" s="104">
        <f t="shared" si="13"/>
        <v>13.228512000000002</v>
      </c>
      <c r="E61" s="104">
        <v>3.48</v>
      </c>
      <c r="F61" s="104">
        <v>0.99</v>
      </c>
      <c r="G61" s="104">
        <v>0.75</v>
      </c>
      <c r="H61" s="104">
        <v>0.27600000000000002</v>
      </c>
      <c r="I61" s="104">
        <v>0.71</v>
      </c>
      <c r="J61" s="104">
        <v>0.42</v>
      </c>
      <c r="K61" s="104">
        <v>0.93699999999999994</v>
      </c>
      <c r="L61" s="104">
        <v>1.1200000000000001</v>
      </c>
      <c r="M61" s="104">
        <v>1.1200000000000001</v>
      </c>
      <c r="N61" s="104">
        <v>0.34</v>
      </c>
      <c r="O61" s="104">
        <v>0.99</v>
      </c>
      <c r="P61" s="104">
        <v>0.22151200000000004</v>
      </c>
      <c r="Q61" s="104">
        <v>0.57999999999999996</v>
      </c>
      <c r="R61" s="104">
        <v>0.72299999999999998</v>
      </c>
      <c r="S61" s="104">
        <v>0.57099999999999995</v>
      </c>
      <c r="U61" s="92" t="e">
        <v>#DIV/0!</v>
      </c>
    </row>
    <row r="62" spans="1:21" s="86" customFormat="1" ht="15.75" customHeight="1">
      <c r="A62" s="109" t="s">
        <v>70</v>
      </c>
      <c r="B62" s="108" t="s">
        <v>1803</v>
      </c>
      <c r="C62" s="80" t="s">
        <v>38</v>
      </c>
      <c r="D62" s="104">
        <f t="shared" si="13"/>
        <v>35.667999999999999</v>
      </c>
      <c r="E62" s="104">
        <v>5.84</v>
      </c>
      <c r="F62" s="104">
        <v>2.13</v>
      </c>
      <c r="G62" s="104">
        <v>2.89</v>
      </c>
      <c r="H62" s="104">
        <v>2.08</v>
      </c>
      <c r="I62" s="104">
        <v>1.1299999999999999</v>
      </c>
      <c r="J62" s="104">
        <v>1.07</v>
      </c>
      <c r="K62" s="104">
        <v>3.76</v>
      </c>
      <c r="L62" s="104">
        <v>2.9940000000000002</v>
      </c>
      <c r="M62" s="104">
        <v>3.5100000000000002</v>
      </c>
      <c r="N62" s="104">
        <v>3.1500000000000004</v>
      </c>
      <c r="O62" s="104">
        <v>2.08</v>
      </c>
      <c r="P62" s="104">
        <v>0.4</v>
      </c>
      <c r="Q62" s="104">
        <v>1.35</v>
      </c>
      <c r="R62" s="104">
        <v>1.96</v>
      </c>
      <c r="S62" s="104">
        <v>1.3239999999999998</v>
      </c>
      <c r="U62" s="87" t="e">
        <v>#DIV/0!</v>
      </c>
    </row>
    <row r="63" spans="1:21" s="86" customFormat="1" ht="15.75" customHeight="1">
      <c r="A63" s="109" t="s">
        <v>74</v>
      </c>
      <c r="B63" s="82" t="s">
        <v>1804</v>
      </c>
      <c r="C63" s="105" t="s">
        <v>39</v>
      </c>
      <c r="D63" s="104">
        <f t="shared" si="13"/>
        <v>133.15657319854844</v>
      </c>
      <c r="E63" s="104">
        <v>18.278273198548469</v>
      </c>
      <c r="F63" s="104">
        <v>8.2159999999999993</v>
      </c>
      <c r="G63" s="104">
        <v>5.89</v>
      </c>
      <c r="H63" s="104">
        <v>2.8000000000000469E-2</v>
      </c>
      <c r="I63" s="104">
        <v>4.05</v>
      </c>
      <c r="J63" s="104">
        <v>3.27</v>
      </c>
      <c r="K63" s="104">
        <v>15.380000000000003</v>
      </c>
      <c r="L63" s="104">
        <v>5.7313000000000001</v>
      </c>
      <c r="M63" s="104">
        <v>9.0799999999999983</v>
      </c>
      <c r="N63" s="104">
        <v>24.24</v>
      </c>
      <c r="O63" s="104">
        <v>8.2639999999999993</v>
      </c>
      <c r="P63" s="104">
        <v>8.7399999999999984</v>
      </c>
      <c r="Q63" s="104">
        <v>4.8</v>
      </c>
      <c r="R63" s="104">
        <v>10.248999999999999</v>
      </c>
      <c r="S63" s="104">
        <v>6.94</v>
      </c>
      <c r="U63" s="93" t="e">
        <v>#DIV/0!</v>
      </c>
    </row>
    <row r="64" spans="1:21" s="86" customFormat="1" ht="15.75" customHeight="1">
      <c r="A64" s="109" t="s">
        <v>75</v>
      </c>
      <c r="B64" s="82" t="s">
        <v>76</v>
      </c>
      <c r="C64" s="105" t="s">
        <v>1856</v>
      </c>
      <c r="D64" s="104">
        <f t="shared" si="13"/>
        <v>2217.10671</v>
      </c>
      <c r="E64" s="104">
        <v>208.68890000000002</v>
      </c>
      <c r="F64" s="104">
        <v>152.63400000000001</v>
      </c>
      <c r="G64" s="104">
        <v>92.547838000000013</v>
      </c>
      <c r="H64" s="104">
        <v>199.25</v>
      </c>
      <c r="I64" s="104">
        <v>134.70999999999998</v>
      </c>
      <c r="J64" s="104">
        <v>29.79</v>
      </c>
      <c r="K64" s="104">
        <v>46.81</v>
      </c>
      <c r="L64" s="104">
        <v>23.75</v>
      </c>
      <c r="M64" s="104">
        <v>223.63299999999998</v>
      </c>
      <c r="N64" s="104">
        <v>31.409999999999997</v>
      </c>
      <c r="O64" s="104">
        <v>23.209999999999997</v>
      </c>
      <c r="P64" s="104">
        <v>317.51097199999998</v>
      </c>
      <c r="Q64" s="104">
        <v>229.53</v>
      </c>
      <c r="R64" s="104">
        <v>479.47199999999992</v>
      </c>
      <c r="S64" s="104">
        <v>24.16</v>
      </c>
      <c r="U64" s="92" t="e">
        <v>#DIV/0!</v>
      </c>
    </row>
    <row r="65" spans="1:21" s="84" customFormat="1" ht="15.75" customHeight="1">
      <c r="A65" s="109" t="s">
        <v>80</v>
      </c>
      <c r="B65" s="82" t="s">
        <v>103</v>
      </c>
      <c r="C65" s="105" t="s">
        <v>53</v>
      </c>
      <c r="D65" s="104">
        <f t="shared" si="13"/>
        <v>0</v>
      </c>
      <c r="E65" s="288"/>
      <c r="F65" s="289"/>
      <c r="G65" s="290"/>
      <c r="H65" s="290"/>
      <c r="I65" s="290"/>
      <c r="J65" s="290"/>
      <c r="K65" s="290"/>
      <c r="L65" s="290"/>
      <c r="M65" s="290"/>
      <c r="N65" s="290"/>
      <c r="O65" s="290"/>
      <c r="P65" s="290"/>
      <c r="Q65" s="290"/>
      <c r="R65" s="290"/>
      <c r="S65" s="290"/>
      <c r="U65" s="87" t="e">
        <v>#DIV/0!</v>
      </c>
    </row>
    <row r="66" spans="1:21" s="79" customFormat="1" ht="15.75" customHeight="1">
      <c r="A66" s="302">
        <v>3</v>
      </c>
      <c r="B66" s="81" t="s">
        <v>54</v>
      </c>
      <c r="C66" s="279" t="s">
        <v>79</v>
      </c>
      <c r="D66" s="102">
        <f t="shared" si="13"/>
        <v>0</v>
      </c>
      <c r="E66" s="102">
        <f t="shared" ref="E66:S66" si="14">SUM(E67:E71)</f>
        <v>0</v>
      </c>
      <c r="F66" s="102">
        <f t="shared" si="14"/>
        <v>0</v>
      </c>
      <c r="G66" s="102">
        <f t="shared" si="14"/>
        <v>0</v>
      </c>
      <c r="H66" s="102">
        <f t="shared" si="14"/>
        <v>0</v>
      </c>
      <c r="I66" s="102">
        <f t="shared" si="14"/>
        <v>0</v>
      </c>
      <c r="J66" s="102">
        <f t="shared" si="14"/>
        <v>0</v>
      </c>
      <c r="K66" s="102">
        <f t="shared" si="14"/>
        <v>0</v>
      </c>
      <c r="L66" s="102">
        <f t="shared" si="14"/>
        <v>0</v>
      </c>
      <c r="M66" s="102">
        <f t="shared" si="14"/>
        <v>0</v>
      </c>
      <c r="N66" s="102">
        <f t="shared" si="14"/>
        <v>0</v>
      </c>
      <c r="O66" s="102">
        <f t="shared" si="14"/>
        <v>0</v>
      </c>
      <c r="P66" s="102">
        <f t="shared" si="14"/>
        <v>0</v>
      </c>
      <c r="Q66" s="102">
        <f t="shared" si="14"/>
        <v>0</v>
      </c>
      <c r="R66" s="102">
        <f t="shared" si="14"/>
        <v>0</v>
      </c>
      <c r="S66" s="102">
        <f t="shared" si="14"/>
        <v>0</v>
      </c>
    </row>
    <row r="67" spans="1:21" s="84" customFormat="1" ht="34" customHeight="1">
      <c r="A67" s="109" t="s">
        <v>1807</v>
      </c>
      <c r="B67" s="82" t="s">
        <v>1805</v>
      </c>
      <c r="C67" s="105" t="s">
        <v>1818</v>
      </c>
      <c r="D67" s="104">
        <f t="shared" si="13"/>
        <v>0</v>
      </c>
      <c r="E67" s="298"/>
      <c r="F67" s="299"/>
      <c r="G67" s="297"/>
      <c r="H67" s="297"/>
      <c r="I67" s="297"/>
      <c r="J67" s="297"/>
      <c r="K67" s="297"/>
      <c r="L67" s="297"/>
      <c r="M67" s="297"/>
      <c r="N67" s="297"/>
      <c r="O67" s="297"/>
      <c r="P67" s="297"/>
      <c r="Q67" s="297"/>
      <c r="R67" s="297"/>
      <c r="S67" s="297"/>
      <c r="U67" s="87"/>
    </row>
    <row r="68" spans="1:21" s="84" customFormat="1" ht="15.75" customHeight="1">
      <c r="A68" s="109" t="s">
        <v>1808</v>
      </c>
      <c r="B68" s="82" t="s">
        <v>157</v>
      </c>
      <c r="C68" s="105" t="s">
        <v>158</v>
      </c>
      <c r="D68" s="104">
        <f t="shared" si="13"/>
        <v>0</v>
      </c>
      <c r="E68" s="294"/>
      <c r="F68" s="294"/>
      <c r="G68" s="294"/>
      <c r="H68" s="294"/>
      <c r="I68" s="294"/>
      <c r="J68" s="294"/>
      <c r="K68" s="294"/>
      <c r="L68" s="294"/>
      <c r="M68" s="294"/>
      <c r="N68" s="294"/>
      <c r="O68" s="294"/>
      <c r="P68" s="294"/>
      <c r="Q68" s="294"/>
      <c r="R68" s="294"/>
      <c r="S68" s="294"/>
      <c r="U68" s="87"/>
    </row>
    <row r="69" spans="1:21" s="84" customFormat="1" ht="15.75" customHeight="1">
      <c r="A69" s="109" t="s">
        <v>1809</v>
      </c>
      <c r="B69" s="82" t="s">
        <v>159</v>
      </c>
      <c r="C69" s="105" t="s">
        <v>160</v>
      </c>
      <c r="D69" s="104">
        <f t="shared" si="13"/>
        <v>0</v>
      </c>
      <c r="E69" s="294"/>
      <c r="F69" s="295"/>
      <c r="G69" s="292"/>
      <c r="H69" s="292"/>
      <c r="I69" s="292"/>
      <c r="J69" s="292"/>
      <c r="K69" s="292"/>
      <c r="L69" s="292"/>
      <c r="M69" s="292"/>
      <c r="N69" s="292"/>
      <c r="O69" s="292"/>
      <c r="P69" s="292"/>
      <c r="Q69" s="292"/>
      <c r="R69" s="292"/>
      <c r="S69" s="292"/>
      <c r="U69" s="87" t="e">
        <v>#DIV/0!</v>
      </c>
    </row>
    <row r="70" spans="1:21" s="84" customFormat="1" ht="15.5">
      <c r="A70" s="109" t="s">
        <v>1810</v>
      </c>
      <c r="B70" s="82" t="s">
        <v>161</v>
      </c>
      <c r="C70" s="105" t="s">
        <v>162</v>
      </c>
      <c r="D70" s="104">
        <f t="shared" si="13"/>
        <v>0</v>
      </c>
      <c r="E70" s="294"/>
      <c r="F70" s="295"/>
      <c r="G70" s="287"/>
      <c r="H70" s="287"/>
      <c r="I70" s="287"/>
      <c r="J70" s="287"/>
      <c r="K70" s="287"/>
      <c r="L70" s="287"/>
      <c r="M70" s="287"/>
      <c r="N70" s="287"/>
      <c r="O70" s="287"/>
      <c r="P70" s="287"/>
      <c r="Q70" s="287"/>
      <c r="R70" s="287"/>
      <c r="S70" s="287"/>
      <c r="U70" s="87" t="e">
        <v>#DIV/0!</v>
      </c>
    </row>
    <row r="71" spans="1:21" s="84" customFormat="1" ht="15.5">
      <c r="A71" s="109" t="s">
        <v>1811</v>
      </c>
      <c r="B71" s="82" t="s">
        <v>1806</v>
      </c>
      <c r="C71" s="105" t="s">
        <v>1819</v>
      </c>
      <c r="D71" s="104">
        <f t="shared" si="13"/>
        <v>0</v>
      </c>
      <c r="E71" s="294"/>
      <c r="F71" s="295"/>
      <c r="G71" s="292"/>
      <c r="H71" s="292"/>
      <c r="I71" s="292"/>
      <c r="J71" s="292"/>
      <c r="K71" s="292"/>
      <c r="L71" s="292"/>
      <c r="M71" s="292"/>
      <c r="N71" s="292"/>
      <c r="O71" s="292"/>
      <c r="P71" s="292"/>
      <c r="Q71" s="292"/>
      <c r="R71" s="292"/>
      <c r="S71" s="292"/>
      <c r="U71" s="87" t="e">
        <v>#DIV/0!</v>
      </c>
    </row>
    <row r="72" spans="1:21" s="84" customFormat="1" ht="15.75" customHeight="1">
      <c r="A72" s="279" t="s">
        <v>78</v>
      </c>
      <c r="B72" s="111" t="s">
        <v>209</v>
      </c>
      <c r="C72" s="281"/>
      <c r="D72" s="104"/>
      <c r="E72" s="113"/>
      <c r="F72" s="113"/>
      <c r="G72" s="113"/>
      <c r="H72" s="113"/>
      <c r="I72" s="113"/>
      <c r="J72" s="113"/>
      <c r="K72" s="113"/>
      <c r="L72" s="113"/>
      <c r="M72" s="113"/>
      <c r="N72" s="113"/>
      <c r="O72" s="113"/>
      <c r="P72" s="113"/>
      <c r="Q72" s="113"/>
      <c r="R72" s="278"/>
      <c r="S72" s="113"/>
      <c r="U72" s="303" t="e">
        <v>#DIV/0!</v>
      </c>
    </row>
    <row r="73" spans="1:21" s="84" customFormat="1" ht="15.75" customHeight="1">
      <c r="A73" s="105"/>
      <c r="B73" s="108" t="s">
        <v>105</v>
      </c>
      <c r="C73" s="80" t="s">
        <v>106</v>
      </c>
      <c r="D73" s="104">
        <f t="shared" si="13"/>
        <v>0</v>
      </c>
      <c r="E73" s="113"/>
      <c r="F73" s="113"/>
      <c r="G73" s="113"/>
      <c r="H73" s="113"/>
      <c r="I73" s="113"/>
      <c r="J73" s="113"/>
      <c r="K73" s="113"/>
      <c r="L73" s="113"/>
      <c r="M73" s="113"/>
      <c r="N73" s="113"/>
      <c r="O73" s="113"/>
      <c r="P73" s="113"/>
      <c r="Q73" s="113"/>
      <c r="R73" s="113"/>
      <c r="S73" s="113"/>
      <c r="U73" s="87" t="e">
        <v>#DIV/0!</v>
      </c>
    </row>
    <row r="74" spans="1:21" s="84" customFormat="1" ht="15.5">
      <c r="A74" s="105"/>
      <c r="B74" s="108" t="s">
        <v>2</v>
      </c>
      <c r="C74" s="80" t="s">
        <v>107</v>
      </c>
      <c r="D74" s="104">
        <f t="shared" si="13"/>
        <v>0</v>
      </c>
      <c r="E74" s="113"/>
      <c r="F74" s="113"/>
      <c r="G74" s="113"/>
      <c r="H74" s="113"/>
      <c r="I74" s="113"/>
      <c r="J74" s="113"/>
      <c r="K74" s="113"/>
      <c r="L74" s="113"/>
      <c r="M74" s="113"/>
      <c r="N74" s="113"/>
      <c r="O74" s="113"/>
      <c r="P74" s="113"/>
      <c r="Q74" s="113"/>
      <c r="R74" s="113"/>
      <c r="S74" s="113"/>
      <c r="U74" s="87" t="e">
        <v>#DIV/0!</v>
      </c>
    </row>
    <row r="75" spans="1:21" s="84" customFormat="1" ht="15.75" customHeight="1">
      <c r="A75" s="105"/>
      <c r="B75" s="108" t="s">
        <v>1820</v>
      </c>
      <c r="C75" s="80" t="s">
        <v>168</v>
      </c>
      <c r="D75" s="104">
        <f t="shared" si="13"/>
        <v>0</v>
      </c>
      <c r="E75" s="113"/>
      <c r="F75" s="113"/>
      <c r="G75" s="113"/>
      <c r="H75" s="113"/>
      <c r="I75" s="113"/>
      <c r="J75" s="113"/>
      <c r="K75" s="113"/>
      <c r="L75" s="113"/>
      <c r="M75" s="113"/>
      <c r="N75" s="113"/>
      <c r="O75" s="113"/>
      <c r="P75" s="113"/>
      <c r="Q75" s="113"/>
      <c r="R75" s="113"/>
      <c r="S75" s="113"/>
      <c r="U75" s="87" t="e">
        <v>#DIV/0!</v>
      </c>
    </row>
    <row r="76" spans="1:21" s="84" customFormat="1" ht="15.75" customHeight="1">
      <c r="A76" s="105"/>
      <c r="B76" s="108" t="s">
        <v>1821</v>
      </c>
      <c r="C76" s="80" t="s">
        <v>172</v>
      </c>
      <c r="D76" s="104">
        <f t="shared" si="13"/>
        <v>0</v>
      </c>
      <c r="E76" s="113"/>
      <c r="F76" s="113"/>
      <c r="G76" s="113"/>
      <c r="H76" s="113"/>
      <c r="I76" s="113"/>
      <c r="J76" s="113"/>
      <c r="K76" s="113"/>
      <c r="L76" s="113"/>
      <c r="M76" s="113"/>
      <c r="N76" s="113"/>
      <c r="O76" s="113"/>
      <c r="P76" s="113"/>
      <c r="Q76" s="113"/>
      <c r="R76" s="278"/>
      <c r="S76" s="112"/>
      <c r="U76" s="87" t="e">
        <v>#DIV/0!</v>
      </c>
    </row>
    <row r="77" spans="1:21" s="84" customFormat="1" ht="15.75" customHeight="1">
      <c r="A77" s="105"/>
      <c r="B77" s="108" t="s">
        <v>83</v>
      </c>
      <c r="C77" s="80" t="s">
        <v>117</v>
      </c>
      <c r="D77" s="104">
        <f t="shared" si="13"/>
        <v>0</v>
      </c>
      <c r="E77" s="113"/>
      <c r="F77" s="113"/>
      <c r="G77" s="113"/>
      <c r="H77" s="113"/>
      <c r="I77" s="113"/>
      <c r="J77" s="113"/>
      <c r="K77" s="113"/>
      <c r="L77" s="113"/>
      <c r="M77" s="113"/>
      <c r="N77" s="113"/>
      <c r="O77" s="113"/>
      <c r="P77" s="113"/>
      <c r="Q77" s="113"/>
      <c r="R77" s="112"/>
      <c r="S77" s="112"/>
      <c r="U77" s="87" t="e">
        <v>#DIV/0!</v>
      </c>
    </row>
    <row r="78" spans="1:21" s="84" customFormat="1" ht="15.75" customHeight="1">
      <c r="A78" s="105"/>
      <c r="B78" s="108" t="s">
        <v>1822</v>
      </c>
      <c r="C78" s="80" t="s">
        <v>173</v>
      </c>
      <c r="D78" s="104">
        <f t="shared" si="13"/>
        <v>0</v>
      </c>
      <c r="E78" s="112"/>
      <c r="F78" s="113"/>
      <c r="G78" s="113"/>
      <c r="H78" s="113"/>
      <c r="I78" s="113"/>
      <c r="J78" s="113"/>
      <c r="K78" s="113"/>
      <c r="L78" s="113"/>
      <c r="M78" s="113"/>
      <c r="N78" s="113"/>
      <c r="O78" s="113"/>
      <c r="P78" s="113"/>
      <c r="Q78" s="113"/>
      <c r="R78" s="278"/>
      <c r="S78" s="278"/>
      <c r="U78" s="87" t="e">
        <v>#DIV/0!</v>
      </c>
    </row>
    <row r="79" spans="1:21" s="84" customFormat="1" ht="15.75" customHeight="1">
      <c r="A79" s="105"/>
      <c r="B79" s="108" t="s">
        <v>1823</v>
      </c>
      <c r="C79" s="80" t="s">
        <v>174</v>
      </c>
      <c r="D79" s="104">
        <f t="shared" si="13"/>
        <v>0</v>
      </c>
      <c r="E79" s="113"/>
      <c r="F79" s="113"/>
      <c r="G79" s="113"/>
      <c r="H79" s="113"/>
      <c r="I79" s="113"/>
      <c r="J79" s="113"/>
      <c r="K79" s="113"/>
      <c r="L79" s="113"/>
      <c r="M79" s="113"/>
      <c r="N79" s="113"/>
      <c r="O79" s="113"/>
      <c r="P79" s="113"/>
      <c r="Q79" s="113"/>
      <c r="R79" s="278"/>
      <c r="S79" s="278"/>
      <c r="U79" s="87" t="e">
        <v>#DIV/0!</v>
      </c>
    </row>
    <row r="80" spans="1:21" s="84" customFormat="1" ht="15.75" customHeight="1">
      <c r="A80" s="105"/>
      <c r="B80" s="108" t="s">
        <v>1824</v>
      </c>
      <c r="C80" s="80" t="s">
        <v>1825</v>
      </c>
      <c r="D80" s="104">
        <f t="shared" si="13"/>
        <v>0</v>
      </c>
      <c r="E80" s="113"/>
      <c r="F80" s="113"/>
      <c r="G80" s="113"/>
      <c r="H80" s="113"/>
      <c r="I80" s="113"/>
      <c r="J80" s="113"/>
      <c r="K80" s="113"/>
      <c r="L80" s="113"/>
      <c r="M80" s="113"/>
      <c r="N80" s="113"/>
      <c r="O80" s="113"/>
      <c r="P80" s="113"/>
      <c r="Q80" s="113"/>
      <c r="R80" s="112"/>
      <c r="S80" s="112"/>
      <c r="U80" s="87" t="e">
        <v>#DIV/0!</v>
      </c>
    </row>
    <row r="81" spans="1:21" s="84" customFormat="1" ht="15.75" customHeight="1">
      <c r="A81" s="105"/>
      <c r="B81" s="108" t="s">
        <v>170</v>
      </c>
      <c r="C81" s="80" t="s">
        <v>175</v>
      </c>
      <c r="D81" s="104">
        <f t="shared" si="13"/>
        <v>0</v>
      </c>
      <c r="E81" s="112"/>
      <c r="F81" s="113"/>
      <c r="G81" s="113"/>
      <c r="H81" s="113"/>
      <c r="I81" s="113"/>
      <c r="J81" s="113"/>
      <c r="K81" s="113"/>
      <c r="L81" s="113"/>
      <c r="M81" s="113"/>
      <c r="N81" s="113"/>
      <c r="O81" s="113"/>
      <c r="P81" s="113"/>
      <c r="Q81" s="113"/>
      <c r="R81" s="278"/>
      <c r="S81" s="278"/>
      <c r="U81" s="87" t="e">
        <v>#DIV/0!</v>
      </c>
    </row>
    <row r="82" spans="1:21" s="84" customFormat="1" ht="15.75" customHeight="1">
      <c r="A82" s="105"/>
      <c r="B82" s="108" t="s">
        <v>171</v>
      </c>
      <c r="C82" s="80" t="s">
        <v>1826</v>
      </c>
      <c r="D82" s="104">
        <f t="shared" si="13"/>
        <v>0</v>
      </c>
      <c r="E82" s="113"/>
      <c r="F82" s="113"/>
      <c r="G82" s="113"/>
      <c r="H82" s="113"/>
      <c r="I82" s="113"/>
      <c r="J82" s="113"/>
      <c r="K82" s="113"/>
      <c r="L82" s="113"/>
      <c r="M82" s="113"/>
      <c r="N82" s="113"/>
      <c r="O82" s="113"/>
      <c r="P82" s="113"/>
      <c r="Q82" s="113"/>
      <c r="R82" s="278"/>
      <c r="S82" s="278"/>
      <c r="U82" s="87" t="e">
        <v>#DIV/0!</v>
      </c>
    </row>
    <row r="83" spans="1:21" s="86" customFormat="1" ht="15.5">
      <c r="B83" s="14" t="s">
        <v>149</v>
      </c>
      <c r="D83" s="89"/>
      <c r="R83" s="94"/>
    </row>
    <row r="84" spans="1:21" s="86" customFormat="1" ht="15.5">
      <c r="C84" s="25"/>
      <c r="D84" s="25"/>
      <c r="E84" s="25"/>
      <c r="F84" s="25"/>
      <c r="G84" s="25"/>
      <c r="H84" s="25"/>
      <c r="I84" s="25"/>
    </row>
    <row r="85" spans="1:21" s="86" customFormat="1" ht="15.5">
      <c r="D85" s="89"/>
      <c r="R85" s="94"/>
    </row>
    <row r="88" spans="1:21" ht="14">
      <c r="K88" s="31">
        <v>10957.41</v>
      </c>
    </row>
    <row r="90" spans="1:21">
      <c r="K90" s="11">
        <v>10957.41</v>
      </c>
    </row>
  </sheetData>
  <mergeCells count="9">
    <mergeCell ref="A5:A6"/>
    <mergeCell ref="B5:B6"/>
    <mergeCell ref="C5:C6"/>
    <mergeCell ref="A1:S1"/>
    <mergeCell ref="A2:S2"/>
    <mergeCell ref="A3:S3"/>
    <mergeCell ref="D5:D6"/>
    <mergeCell ref="E5:S5"/>
    <mergeCell ref="A4:S4"/>
  </mergeCells>
  <printOptions horizontalCentered="1"/>
  <pageMargins left="0.15748031496062992" right="7.874015748031496E-2" top="0.23622047244094491" bottom="7.874015748031496E-2" header="7.874015748031496E-2" footer="7.874015748031496E-2"/>
  <pageSetup paperSize="8"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92D050"/>
  </sheetPr>
  <dimension ref="A1:T32"/>
  <sheetViews>
    <sheetView view="pageBreakPreview" zoomScale="85" zoomScaleNormal="85" zoomScaleSheetLayoutView="85" workbookViewId="0">
      <pane xSplit="4" ySplit="6" topLeftCell="K27" activePane="bottomRight" state="frozen"/>
      <selection activeCell="A5" sqref="A5:S66"/>
      <selection pane="topRight" activeCell="A5" sqref="A5:S66"/>
      <selection pane="bottomLeft" activeCell="A5" sqref="A5:S66"/>
      <selection pane="bottomRight" activeCell="U29" sqref="U29"/>
    </sheetView>
  </sheetViews>
  <sheetFormatPr defaultColWidth="9" defaultRowHeight="13"/>
  <cols>
    <col min="1" max="1" width="5.33203125" style="2" customWidth="1"/>
    <col min="2" max="2" width="43" style="2" customWidth="1"/>
    <col min="3" max="3" width="12.08203125" style="2" customWidth="1"/>
    <col min="4" max="4" width="10.58203125" style="2" customWidth="1"/>
    <col min="5" max="7" width="7.75" style="2" customWidth="1"/>
    <col min="8" max="8" width="8.9140625" style="2" customWidth="1"/>
    <col min="9" max="9" width="7.75" style="2" customWidth="1"/>
    <col min="10" max="10" width="8.33203125" style="2" customWidth="1"/>
    <col min="11" max="11" width="7.58203125" style="2" customWidth="1"/>
    <col min="12" max="15" width="7.75" style="2" customWidth="1"/>
    <col min="16" max="16" width="9.5" style="2" customWidth="1"/>
    <col min="17" max="17" width="7.75" style="2" customWidth="1"/>
    <col min="18" max="18" width="9" style="7" customWidth="1"/>
    <col min="19" max="19" width="7.75" style="2" customWidth="1"/>
    <col min="20" max="20" width="16.25" style="136" customWidth="1"/>
    <col min="21" max="16384" width="9" style="2"/>
  </cols>
  <sheetData>
    <row r="1" spans="1:20" s="4" customFormat="1" ht="20.25" customHeight="1">
      <c r="A1" s="578" t="s">
        <v>210</v>
      </c>
      <c r="B1" s="578"/>
      <c r="C1" s="578"/>
      <c r="D1" s="578"/>
      <c r="E1" s="578"/>
      <c r="F1" s="578"/>
      <c r="G1" s="578"/>
      <c r="H1" s="578"/>
      <c r="I1" s="578"/>
      <c r="J1" s="578"/>
      <c r="K1" s="578"/>
      <c r="L1" s="578"/>
      <c r="M1" s="578"/>
      <c r="N1" s="578"/>
      <c r="O1" s="578"/>
      <c r="P1" s="578"/>
      <c r="Q1" s="578"/>
      <c r="R1" s="578"/>
      <c r="S1" s="578"/>
      <c r="T1" s="132"/>
    </row>
    <row r="2" spans="1:20" s="4" customFormat="1" ht="20.25" customHeight="1">
      <c r="A2" s="567" t="s">
        <v>1772</v>
      </c>
      <c r="B2" s="567"/>
      <c r="C2" s="567"/>
      <c r="D2" s="567"/>
      <c r="E2" s="567"/>
      <c r="F2" s="567"/>
      <c r="G2" s="567"/>
      <c r="H2" s="567"/>
      <c r="I2" s="567"/>
      <c r="J2" s="567"/>
      <c r="K2" s="567"/>
      <c r="L2" s="567"/>
      <c r="M2" s="567"/>
      <c r="N2" s="567"/>
      <c r="O2" s="567"/>
      <c r="P2" s="567"/>
      <c r="Q2" s="567"/>
      <c r="R2" s="567"/>
      <c r="S2" s="567"/>
      <c r="T2" s="132"/>
    </row>
    <row r="3" spans="1:20" s="4" customFormat="1" ht="20.25" customHeight="1">
      <c r="A3" s="575" t="s">
        <v>214</v>
      </c>
      <c r="B3" s="575"/>
      <c r="C3" s="575"/>
      <c r="D3" s="575"/>
      <c r="E3" s="575"/>
      <c r="F3" s="575"/>
      <c r="G3" s="575"/>
      <c r="H3" s="575"/>
      <c r="I3" s="575"/>
      <c r="J3" s="575"/>
      <c r="K3" s="575"/>
      <c r="L3" s="575"/>
      <c r="M3" s="575"/>
      <c r="N3" s="575"/>
      <c r="O3" s="575"/>
      <c r="P3" s="575"/>
      <c r="Q3" s="575"/>
      <c r="R3" s="575"/>
      <c r="S3" s="575"/>
      <c r="T3" s="132"/>
    </row>
    <row r="4" spans="1:20" s="4" customFormat="1" ht="18.649999999999999" customHeight="1">
      <c r="A4" s="587" t="s">
        <v>0</v>
      </c>
      <c r="B4" s="587"/>
      <c r="C4" s="587"/>
      <c r="D4" s="587"/>
      <c r="E4" s="587"/>
      <c r="F4" s="587"/>
      <c r="G4" s="587"/>
      <c r="H4" s="587"/>
      <c r="I4" s="587"/>
      <c r="J4" s="587"/>
      <c r="K4" s="587"/>
      <c r="L4" s="587"/>
      <c r="M4" s="587"/>
      <c r="N4" s="587"/>
      <c r="O4" s="587"/>
      <c r="P4" s="587"/>
      <c r="Q4" s="587"/>
      <c r="R4" s="587"/>
      <c r="S4" s="587"/>
      <c r="T4" s="132"/>
    </row>
    <row r="5" spans="1:20" s="3" customFormat="1" ht="19.5" customHeight="1">
      <c r="A5" s="572" t="s">
        <v>1</v>
      </c>
      <c r="B5" s="572" t="s">
        <v>151</v>
      </c>
      <c r="C5" s="572" t="s">
        <v>134</v>
      </c>
      <c r="D5" s="581" t="s">
        <v>153</v>
      </c>
      <c r="E5" s="576" t="s">
        <v>122</v>
      </c>
      <c r="F5" s="576"/>
      <c r="G5" s="576"/>
      <c r="H5" s="576"/>
      <c r="I5" s="576"/>
      <c r="J5" s="576"/>
      <c r="K5" s="576"/>
      <c r="L5" s="576"/>
      <c r="M5" s="576"/>
      <c r="N5" s="576"/>
      <c r="O5" s="576"/>
      <c r="P5" s="576"/>
      <c r="Q5" s="576"/>
      <c r="R5" s="576"/>
      <c r="S5" s="576"/>
      <c r="T5" s="133"/>
    </row>
    <row r="6" spans="1:20" s="26" customFormat="1" ht="69.75" customHeight="1">
      <c r="A6" s="572"/>
      <c r="B6" s="572"/>
      <c r="C6" s="572"/>
      <c r="D6" s="581"/>
      <c r="E6" s="110" t="s">
        <v>217</v>
      </c>
      <c r="F6" s="110" t="s">
        <v>218</v>
      </c>
      <c r="G6" s="110" t="s">
        <v>219</v>
      </c>
      <c r="H6" s="110" t="s">
        <v>220</v>
      </c>
      <c r="I6" s="110" t="s">
        <v>221</v>
      </c>
      <c r="J6" s="110" t="s">
        <v>222</v>
      </c>
      <c r="K6" s="110" t="s">
        <v>223</v>
      </c>
      <c r="L6" s="110" t="s">
        <v>224</v>
      </c>
      <c r="M6" s="110" t="s">
        <v>225</v>
      </c>
      <c r="N6" s="110" t="s">
        <v>226</v>
      </c>
      <c r="O6" s="110" t="s">
        <v>227</v>
      </c>
      <c r="P6" s="110" t="s">
        <v>228</v>
      </c>
      <c r="Q6" s="110" t="s">
        <v>229</v>
      </c>
      <c r="R6" s="110" t="s">
        <v>230</v>
      </c>
      <c r="S6" s="110" t="s">
        <v>231</v>
      </c>
      <c r="T6" s="134"/>
    </row>
    <row r="7" spans="1:20" s="28" customFormat="1" ht="26.25" hidden="1" customHeight="1">
      <c r="A7" s="98" t="s">
        <v>178</v>
      </c>
      <c r="B7" s="98" t="s">
        <v>179</v>
      </c>
      <c r="C7" s="98" t="s">
        <v>180</v>
      </c>
      <c r="D7" s="99" t="s">
        <v>198</v>
      </c>
      <c r="E7" s="99" t="s">
        <v>181</v>
      </c>
      <c r="F7" s="99" t="s">
        <v>182</v>
      </c>
      <c r="G7" s="99" t="s">
        <v>183</v>
      </c>
      <c r="H7" s="99" t="s">
        <v>184</v>
      </c>
      <c r="I7" s="99" t="s">
        <v>185</v>
      </c>
      <c r="J7" s="99" t="s">
        <v>186</v>
      </c>
      <c r="K7" s="99" t="s">
        <v>187</v>
      </c>
      <c r="L7" s="99" t="s">
        <v>188</v>
      </c>
      <c r="M7" s="99" t="s">
        <v>189</v>
      </c>
      <c r="N7" s="99" t="s">
        <v>190</v>
      </c>
      <c r="O7" s="99" t="s">
        <v>191</v>
      </c>
      <c r="P7" s="99" t="s">
        <v>192</v>
      </c>
      <c r="Q7" s="99" t="s">
        <v>193</v>
      </c>
      <c r="R7" s="99"/>
      <c r="S7" s="99"/>
      <c r="T7" s="135"/>
    </row>
    <row r="8" spans="1:20" s="5" customFormat="1" ht="33" customHeight="1">
      <c r="A8" s="97">
        <v>1</v>
      </c>
      <c r="B8" s="81" t="s">
        <v>1851</v>
      </c>
      <c r="C8" s="97"/>
      <c r="D8" s="102">
        <f>SUM(E8:S8)</f>
        <v>3401.2801339162743</v>
      </c>
      <c r="E8" s="102">
        <f>SUM(E10:E14)</f>
        <v>161.58623257153778</v>
      </c>
      <c r="F8" s="102">
        <f t="shared" ref="F8:S8" si="0">SUM(F10:F14)</f>
        <v>88.596249999999998</v>
      </c>
      <c r="G8" s="102">
        <f t="shared" si="0"/>
        <v>103.67536000000001</v>
      </c>
      <c r="H8" s="102">
        <f t="shared" si="0"/>
        <v>211.35</v>
      </c>
      <c r="I8" s="102">
        <f t="shared" si="0"/>
        <v>56.403333333333329</v>
      </c>
      <c r="J8" s="102">
        <f t="shared" si="0"/>
        <v>56.065224695506096</v>
      </c>
      <c r="K8" s="102">
        <f t="shared" si="0"/>
        <v>91.366658135106746</v>
      </c>
      <c r="L8" s="102">
        <f t="shared" si="0"/>
        <v>25.758802300092004</v>
      </c>
      <c r="M8" s="102">
        <f t="shared" si="0"/>
        <v>336.10641666666663</v>
      </c>
      <c r="N8" s="102">
        <f t="shared" si="0"/>
        <v>71.210896000000005</v>
      </c>
      <c r="O8" s="102">
        <f t="shared" si="0"/>
        <v>30.855428571428575</v>
      </c>
      <c r="P8" s="102">
        <f t="shared" si="0"/>
        <v>892.4860000000001</v>
      </c>
      <c r="Q8" s="102">
        <f t="shared" si="0"/>
        <v>524.91166666666663</v>
      </c>
      <c r="R8" s="102">
        <f t="shared" si="0"/>
        <v>687.40619830926937</v>
      </c>
      <c r="S8" s="102">
        <f t="shared" si="0"/>
        <v>63.501666666666665</v>
      </c>
      <c r="T8" s="137">
        <v>4744.0990733662566</v>
      </c>
    </row>
    <row r="9" spans="1:20" s="27" customFormat="1" ht="21" customHeight="1">
      <c r="A9" s="305"/>
      <c r="B9" s="304" t="s">
        <v>176</v>
      </c>
      <c r="C9" s="80"/>
      <c r="D9" s="102"/>
      <c r="E9" s="104"/>
      <c r="F9" s="104"/>
      <c r="G9" s="104"/>
      <c r="H9" s="104"/>
      <c r="I9" s="104"/>
      <c r="J9" s="104"/>
      <c r="K9" s="104"/>
      <c r="L9" s="104"/>
      <c r="M9" s="104"/>
      <c r="N9" s="104"/>
      <c r="O9" s="104"/>
      <c r="P9" s="104"/>
      <c r="Q9" s="104"/>
      <c r="R9" s="104"/>
      <c r="S9" s="104"/>
      <c r="T9" s="138"/>
    </row>
    <row r="10" spans="1:20" ht="21" customHeight="1">
      <c r="A10" s="80" t="s">
        <v>6</v>
      </c>
      <c r="B10" s="82" t="s">
        <v>1827</v>
      </c>
      <c r="C10" s="80" t="s">
        <v>126</v>
      </c>
      <c r="D10" s="104">
        <f t="shared" ref="D10:D15" si="1">SUM(E10:S10)</f>
        <v>2989.8138645470244</v>
      </c>
      <c r="E10" s="104">
        <v>144.61435976790358</v>
      </c>
      <c r="F10" s="104">
        <v>78</v>
      </c>
      <c r="G10" s="104">
        <v>95.152622000000008</v>
      </c>
      <c r="H10" s="104">
        <v>99.49</v>
      </c>
      <c r="I10" s="104">
        <v>50.51</v>
      </c>
      <c r="J10" s="104">
        <v>53.66189136217276</v>
      </c>
      <c r="K10" s="104">
        <v>89.929150259712983</v>
      </c>
      <c r="L10" s="104">
        <v>24.050468966758672</v>
      </c>
      <c r="M10" s="104">
        <v>303.06799999999998</v>
      </c>
      <c r="N10" s="104">
        <v>70.600896000000006</v>
      </c>
      <c r="O10" s="104">
        <v>22.16114285714286</v>
      </c>
      <c r="P10" s="104">
        <v>785.16000000000008</v>
      </c>
      <c r="Q10" s="104">
        <v>461.42999999999995</v>
      </c>
      <c r="R10" s="104">
        <v>649.73700000000008</v>
      </c>
      <c r="S10" s="104">
        <v>62.248333333333335</v>
      </c>
      <c r="T10" s="139">
        <v>1254.2414220000001</v>
      </c>
    </row>
    <row r="11" spans="1:20" s="6" customFormat="1" ht="21" customHeight="1">
      <c r="A11" s="80" t="s">
        <v>9</v>
      </c>
      <c r="B11" s="82" t="s">
        <v>1828</v>
      </c>
      <c r="C11" s="80" t="s">
        <v>127</v>
      </c>
      <c r="D11" s="104">
        <f t="shared" si="1"/>
        <v>411.4662693692498</v>
      </c>
      <c r="E11" s="107">
        <v>16.971872803634184</v>
      </c>
      <c r="F11" s="107">
        <v>10.596249999999998</v>
      </c>
      <c r="G11" s="107">
        <v>8.5227379999999968</v>
      </c>
      <c r="H11" s="107">
        <v>111.86</v>
      </c>
      <c r="I11" s="107">
        <v>5.8933333333333335</v>
      </c>
      <c r="J11" s="107">
        <v>2.4033333333333338</v>
      </c>
      <c r="K11" s="107">
        <v>1.4375078753937696</v>
      </c>
      <c r="L11" s="107">
        <v>1.7083333333333333</v>
      </c>
      <c r="M11" s="107">
        <v>33.03841666666667</v>
      </c>
      <c r="N11" s="107">
        <v>0.6100000000000001</v>
      </c>
      <c r="O11" s="107">
        <v>8.694285714285714</v>
      </c>
      <c r="P11" s="107">
        <v>107.32600000000002</v>
      </c>
      <c r="Q11" s="107">
        <v>63.481666666666669</v>
      </c>
      <c r="R11" s="107">
        <v>37.669198309269326</v>
      </c>
      <c r="S11" s="107">
        <v>1.2533333333333332</v>
      </c>
      <c r="T11" s="140">
        <v>739.61942199999999</v>
      </c>
    </row>
    <row r="12" spans="1:20" s="6" customFormat="1" ht="21" customHeight="1">
      <c r="A12" s="80" t="s">
        <v>10</v>
      </c>
      <c r="B12" s="82" t="s">
        <v>1829</v>
      </c>
      <c r="C12" s="80" t="s">
        <v>128</v>
      </c>
      <c r="D12" s="104">
        <f t="shared" si="1"/>
        <v>0</v>
      </c>
      <c r="E12" s="107"/>
      <c r="F12" s="107"/>
      <c r="G12" s="107"/>
      <c r="H12" s="107"/>
      <c r="I12" s="107"/>
      <c r="J12" s="107"/>
      <c r="K12" s="107"/>
      <c r="L12" s="107"/>
      <c r="M12" s="107"/>
      <c r="N12" s="107"/>
      <c r="O12" s="107"/>
      <c r="P12" s="107"/>
      <c r="Q12" s="107"/>
      <c r="R12" s="107"/>
      <c r="S12" s="107"/>
      <c r="T12" s="140">
        <v>514.62200000000007</v>
      </c>
    </row>
    <row r="13" spans="1:20" s="6" customFormat="1" ht="21" customHeight="1">
      <c r="A13" s="80" t="s">
        <v>12</v>
      </c>
      <c r="B13" s="82" t="s">
        <v>1830</v>
      </c>
      <c r="C13" s="80" t="s">
        <v>129</v>
      </c>
      <c r="D13" s="104">
        <f t="shared" si="1"/>
        <v>0</v>
      </c>
      <c r="E13" s="107"/>
      <c r="F13" s="107"/>
      <c r="G13" s="107"/>
      <c r="H13" s="107"/>
      <c r="I13" s="107"/>
      <c r="J13" s="107"/>
      <c r="K13" s="107"/>
      <c r="L13" s="107"/>
      <c r="M13" s="107"/>
      <c r="N13" s="107"/>
      <c r="O13" s="107"/>
      <c r="P13" s="107"/>
      <c r="Q13" s="107"/>
      <c r="R13" s="107"/>
      <c r="S13" s="107"/>
      <c r="T13" s="140">
        <v>0</v>
      </c>
    </row>
    <row r="14" spans="1:20" ht="21" customHeight="1">
      <c r="A14" s="80" t="s">
        <v>14</v>
      </c>
      <c r="B14" s="82" t="s">
        <v>1831</v>
      </c>
      <c r="C14" s="80" t="s">
        <v>130</v>
      </c>
      <c r="D14" s="104">
        <f t="shared" si="1"/>
        <v>0</v>
      </c>
      <c r="E14" s="104">
        <f>E15</f>
        <v>0</v>
      </c>
      <c r="F14" s="104">
        <f t="shared" ref="F14:S14" si="2">F15</f>
        <v>0</v>
      </c>
      <c r="G14" s="104">
        <f t="shared" si="2"/>
        <v>0</v>
      </c>
      <c r="H14" s="104">
        <f t="shared" si="2"/>
        <v>0</v>
      </c>
      <c r="I14" s="104">
        <f t="shared" si="2"/>
        <v>0</v>
      </c>
      <c r="J14" s="104">
        <f t="shared" si="2"/>
        <v>0</v>
      </c>
      <c r="K14" s="104">
        <f t="shared" si="2"/>
        <v>0</v>
      </c>
      <c r="L14" s="104">
        <f t="shared" si="2"/>
        <v>0</v>
      </c>
      <c r="M14" s="104">
        <f t="shared" si="2"/>
        <v>0</v>
      </c>
      <c r="N14" s="104">
        <f t="shared" si="2"/>
        <v>0</v>
      </c>
      <c r="O14" s="104">
        <f t="shared" si="2"/>
        <v>0</v>
      </c>
      <c r="P14" s="104">
        <f t="shared" si="2"/>
        <v>0</v>
      </c>
      <c r="Q14" s="104">
        <f t="shared" si="2"/>
        <v>0</v>
      </c>
      <c r="R14" s="104">
        <f t="shared" si="2"/>
        <v>0</v>
      </c>
      <c r="S14" s="104">
        <f t="shared" si="2"/>
        <v>0</v>
      </c>
      <c r="T14" s="139">
        <v>369.65731336625782</v>
      </c>
    </row>
    <row r="15" spans="1:20" s="6" customFormat="1" ht="20.5" customHeight="1">
      <c r="B15" s="304" t="s">
        <v>1850</v>
      </c>
      <c r="C15" s="95" t="s">
        <v>194</v>
      </c>
      <c r="D15" s="104">
        <f t="shared" si="1"/>
        <v>0</v>
      </c>
      <c r="E15" s="107"/>
      <c r="F15" s="107"/>
      <c r="G15" s="107"/>
      <c r="H15" s="107"/>
      <c r="I15" s="107"/>
      <c r="J15" s="107"/>
      <c r="K15" s="107"/>
      <c r="L15" s="107"/>
      <c r="M15" s="107"/>
      <c r="N15" s="107"/>
      <c r="O15" s="107"/>
      <c r="P15" s="107"/>
      <c r="Q15" s="107"/>
      <c r="R15" s="107"/>
      <c r="S15" s="107"/>
      <c r="T15" s="140">
        <v>499.0633380000001</v>
      </c>
    </row>
    <row r="16" spans="1:20" s="3" customFormat="1" ht="36.5" customHeight="1">
      <c r="A16" s="281">
        <v>2</v>
      </c>
      <c r="B16" s="81" t="s">
        <v>195</v>
      </c>
      <c r="C16" s="281"/>
      <c r="D16" s="104">
        <f>SUM(E16:S16)</f>
        <v>0</v>
      </c>
      <c r="E16" s="104">
        <f>SUM(E18:E22)</f>
        <v>0</v>
      </c>
      <c r="F16" s="104">
        <f t="shared" ref="F16:S16" si="3">SUM(F18:F22)</f>
        <v>0</v>
      </c>
      <c r="G16" s="104">
        <f t="shared" si="3"/>
        <v>0</v>
      </c>
      <c r="H16" s="104">
        <f t="shared" si="3"/>
        <v>0</v>
      </c>
      <c r="I16" s="104">
        <f t="shared" si="3"/>
        <v>0</v>
      </c>
      <c r="J16" s="104">
        <f t="shared" si="3"/>
        <v>0</v>
      </c>
      <c r="K16" s="104">
        <f t="shared" si="3"/>
        <v>0</v>
      </c>
      <c r="L16" s="104">
        <f t="shared" si="3"/>
        <v>0</v>
      </c>
      <c r="M16" s="104">
        <f t="shared" si="3"/>
        <v>0</v>
      </c>
      <c r="N16" s="104">
        <f t="shared" si="3"/>
        <v>0</v>
      </c>
      <c r="O16" s="104">
        <f t="shared" si="3"/>
        <v>0</v>
      </c>
      <c r="P16" s="104">
        <f t="shared" si="3"/>
        <v>0</v>
      </c>
      <c r="Q16" s="104">
        <f t="shared" si="3"/>
        <v>0</v>
      </c>
      <c r="R16" s="104">
        <f t="shared" si="3"/>
        <v>0</v>
      </c>
      <c r="S16" s="104">
        <f t="shared" si="3"/>
        <v>0</v>
      </c>
      <c r="T16" s="142">
        <v>0</v>
      </c>
    </row>
    <row r="17" spans="1:20" s="6" customFormat="1" ht="21" customHeight="1">
      <c r="B17" s="304" t="s">
        <v>176</v>
      </c>
      <c r="C17" s="80"/>
      <c r="D17" s="104"/>
      <c r="E17" s="104"/>
      <c r="F17" s="104"/>
      <c r="G17" s="104"/>
      <c r="H17" s="104"/>
      <c r="I17" s="104"/>
      <c r="J17" s="104"/>
      <c r="K17" s="104"/>
      <c r="L17" s="104"/>
      <c r="M17" s="104"/>
      <c r="N17" s="104"/>
      <c r="O17" s="104"/>
      <c r="P17" s="104"/>
      <c r="Q17" s="104"/>
      <c r="R17" s="104"/>
      <c r="S17" s="104"/>
      <c r="T17" s="140">
        <v>0</v>
      </c>
    </row>
    <row r="18" spans="1:20" ht="31.5" customHeight="1">
      <c r="A18" s="80" t="s">
        <v>23</v>
      </c>
      <c r="B18" s="82" t="s">
        <v>1837</v>
      </c>
      <c r="C18" s="80" t="s">
        <v>131</v>
      </c>
      <c r="D18" s="104">
        <f t="shared" ref="D18:D29" si="4">SUM(E18:S18)</f>
        <v>0</v>
      </c>
      <c r="E18" s="104"/>
      <c r="F18" s="104"/>
      <c r="G18" s="104"/>
      <c r="H18" s="104"/>
      <c r="I18" s="104"/>
      <c r="J18" s="104"/>
      <c r="K18" s="104"/>
      <c r="L18" s="104"/>
      <c r="M18" s="104"/>
      <c r="N18" s="104"/>
      <c r="O18" s="104"/>
      <c r="P18" s="104"/>
      <c r="Q18" s="104"/>
      <c r="R18" s="104"/>
      <c r="S18" s="104"/>
      <c r="T18" s="139">
        <v>0</v>
      </c>
    </row>
    <row r="19" spans="1:20" s="6" customFormat="1" ht="31.5" customHeight="1">
      <c r="A19" s="80" t="s">
        <v>25</v>
      </c>
      <c r="B19" s="96" t="s">
        <v>1852</v>
      </c>
      <c r="C19" s="106" t="s">
        <v>132</v>
      </c>
      <c r="D19" s="104">
        <f t="shared" si="4"/>
        <v>0</v>
      </c>
      <c r="E19" s="107"/>
      <c r="F19" s="107"/>
      <c r="G19" s="107"/>
      <c r="H19" s="107"/>
      <c r="I19" s="107"/>
      <c r="J19" s="107"/>
      <c r="K19" s="107"/>
      <c r="L19" s="107"/>
      <c r="M19" s="107"/>
      <c r="N19" s="107"/>
      <c r="O19" s="107"/>
      <c r="P19" s="107"/>
      <c r="Q19" s="107"/>
      <c r="R19" s="107"/>
      <c r="S19" s="107"/>
      <c r="T19" s="140">
        <v>0</v>
      </c>
    </row>
    <row r="20" spans="1:20" s="6" customFormat="1" ht="31.5" customHeight="1">
      <c r="A20" s="80" t="s">
        <v>27</v>
      </c>
      <c r="B20" s="96" t="s">
        <v>1838</v>
      </c>
      <c r="C20" s="106" t="s">
        <v>1832</v>
      </c>
      <c r="D20" s="104">
        <f t="shared" si="4"/>
        <v>0</v>
      </c>
      <c r="E20" s="107"/>
      <c r="F20" s="107"/>
      <c r="G20" s="107"/>
      <c r="H20" s="107"/>
      <c r="I20" s="107"/>
      <c r="J20" s="107"/>
      <c r="K20" s="107"/>
      <c r="L20" s="107"/>
      <c r="M20" s="107"/>
      <c r="N20" s="107"/>
      <c r="O20" s="107"/>
      <c r="P20" s="107"/>
      <c r="Q20" s="107"/>
      <c r="R20" s="107"/>
      <c r="S20" s="107"/>
      <c r="T20" s="140"/>
    </row>
    <row r="21" spans="1:20" s="6" customFormat="1" ht="31.5" customHeight="1">
      <c r="A21" s="80" t="s">
        <v>29</v>
      </c>
      <c r="B21" s="96" t="s">
        <v>1839</v>
      </c>
      <c r="C21" s="106" t="s">
        <v>1833</v>
      </c>
      <c r="D21" s="104">
        <f t="shared" si="4"/>
        <v>0</v>
      </c>
      <c r="E21" s="107"/>
      <c r="F21" s="107"/>
      <c r="G21" s="107"/>
      <c r="H21" s="107"/>
      <c r="I21" s="107"/>
      <c r="J21" s="107"/>
      <c r="K21" s="107"/>
      <c r="L21" s="107"/>
      <c r="M21" s="107"/>
      <c r="N21" s="107"/>
      <c r="O21" s="107"/>
      <c r="P21" s="107"/>
      <c r="Q21" s="107"/>
      <c r="R21" s="107"/>
      <c r="S21" s="107"/>
      <c r="T21" s="140"/>
    </row>
    <row r="22" spans="1:20" ht="31.5" customHeight="1">
      <c r="A22" s="80" t="s">
        <v>31</v>
      </c>
      <c r="B22" s="82" t="s">
        <v>1840</v>
      </c>
      <c r="C22" s="80" t="s">
        <v>1834</v>
      </c>
      <c r="D22" s="104">
        <f t="shared" si="4"/>
        <v>0</v>
      </c>
      <c r="E22" s="104">
        <f>E23</f>
        <v>0</v>
      </c>
      <c r="F22" s="104">
        <f t="shared" ref="F22:S22" si="5">F23</f>
        <v>0</v>
      </c>
      <c r="G22" s="104">
        <f t="shared" si="5"/>
        <v>0</v>
      </c>
      <c r="H22" s="104">
        <f t="shared" si="5"/>
        <v>0</v>
      </c>
      <c r="I22" s="104">
        <f t="shared" si="5"/>
        <v>0</v>
      </c>
      <c r="J22" s="104">
        <f t="shared" si="5"/>
        <v>0</v>
      </c>
      <c r="K22" s="104">
        <f t="shared" si="5"/>
        <v>0</v>
      </c>
      <c r="L22" s="104">
        <f t="shared" si="5"/>
        <v>0</v>
      </c>
      <c r="M22" s="104">
        <f t="shared" si="5"/>
        <v>0</v>
      </c>
      <c r="N22" s="104">
        <f t="shared" si="5"/>
        <v>0</v>
      </c>
      <c r="O22" s="104">
        <f t="shared" si="5"/>
        <v>0</v>
      </c>
      <c r="P22" s="104">
        <f t="shared" si="5"/>
        <v>0</v>
      </c>
      <c r="Q22" s="104">
        <f t="shared" si="5"/>
        <v>0</v>
      </c>
      <c r="R22" s="104">
        <f t="shared" si="5"/>
        <v>0</v>
      </c>
      <c r="S22" s="104">
        <f t="shared" si="5"/>
        <v>0</v>
      </c>
      <c r="T22" s="139">
        <v>2620.5070000000005</v>
      </c>
    </row>
    <row r="23" spans="1:20" s="311" customFormat="1" ht="24" customHeight="1">
      <c r="B23" s="304" t="s">
        <v>1850</v>
      </c>
      <c r="C23" s="95" t="s">
        <v>1848</v>
      </c>
      <c r="D23" s="104">
        <f t="shared" si="4"/>
        <v>0</v>
      </c>
      <c r="E23" s="312"/>
      <c r="F23" s="312"/>
      <c r="G23" s="312"/>
      <c r="H23" s="312"/>
      <c r="I23" s="312"/>
      <c r="J23" s="312"/>
      <c r="K23" s="312"/>
      <c r="L23" s="312"/>
      <c r="M23" s="312"/>
      <c r="N23" s="312"/>
      <c r="O23" s="312"/>
      <c r="P23" s="312"/>
      <c r="Q23" s="312"/>
      <c r="R23" s="312"/>
      <c r="S23" s="312"/>
      <c r="T23" s="313">
        <v>0</v>
      </c>
    </row>
    <row r="24" spans="1:20" s="75" customFormat="1" ht="49.5" customHeight="1">
      <c r="A24" s="280">
        <v>3</v>
      </c>
      <c r="B24" s="125" t="s">
        <v>1835</v>
      </c>
      <c r="C24" s="280"/>
      <c r="D24" s="104">
        <f t="shared" si="4"/>
        <v>0</v>
      </c>
      <c r="E24" s="327"/>
      <c r="F24" s="327"/>
      <c r="G24" s="327"/>
      <c r="H24" s="327"/>
      <c r="I24" s="327"/>
      <c r="J24" s="327"/>
      <c r="K24" s="327"/>
      <c r="L24" s="327"/>
      <c r="M24" s="327"/>
      <c r="N24" s="327"/>
      <c r="O24" s="327"/>
      <c r="P24" s="327"/>
      <c r="Q24" s="327"/>
      <c r="R24" s="327"/>
      <c r="S24" s="327"/>
      <c r="T24" s="310">
        <v>0.63</v>
      </c>
    </row>
    <row r="25" spans="1:20" s="24" customFormat="1" ht="36.75" customHeight="1">
      <c r="A25" s="281">
        <v>4</v>
      </c>
      <c r="B25" s="81" t="s">
        <v>1836</v>
      </c>
      <c r="C25" s="281"/>
      <c r="D25" s="104">
        <f t="shared" si="4"/>
        <v>266.36860000000007</v>
      </c>
      <c r="E25" s="104">
        <f>SUM(E26:E29)</f>
        <v>8.9786000000000286</v>
      </c>
      <c r="F25" s="104">
        <f t="shared" ref="F25:S25" si="6">SUM(F26:F29)</f>
        <v>3.2699999999999818</v>
      </c>
      <c r="G25" s="104">
        <f t="shared" si="6"/>
        <v>4.9999999999997158E-2</v>
      </c>
      <c r="H25" s="104">
        <f t="shared" si="6"/>
        <v>32.360000000000014</v>
      </c>
      <c r="I25" s="104">
        <f t="shared" si="6"/>
        <v>0.29000000000000625</v>
      </c>
      <c r="J25" s="104">
        <f t="shared" si="6"/>
        <v>0.99000000000000909</v>
      </c>
      <c r="K25" s="104">
        <f t="shared" si="6"/>
        <v>6.9000000000000341</v>
      </c>
      <c r="L25" s="104">
        <f t="shared" si="6"/>
        <v>1.75</v>
      </c>
      <c r="M25" s="104">
        <f t="shared" si="6"/>
        <v>33.009999999999991</v>
      </c>
      <c r="N25" s="104">
        <f t="shared" si="6"/>
        <v>4.710000000000008</v>
      </c>
      <c r="O25" s="104">
        <f t="shared" si="6"/>
        <v>22.139999999999986</v>
      </c>
      <c r="P25" s="104">
        <f t="shared" si="6"/>
        <v>97.360000000000014</v>
      </c>
      <c r="Q25" s="104">
        <f t="shared" si="6"/>
        <v>28.5</v>
      </c>
      <c r="R25" s="104">
        <f t="shared" si="6"/>
        <v>23.889999999999986</v>
      </c>
      <c r="S25" s="104">
        <f t="shared" si="6"/>
        <v>2.1700000000000017</v>
      </c>
      <c r="T25" s="141">
        <v>0</v>
      </c>
    </row>
    <row r="26" spans="1:20" s="6" customFormat="1" ht="51.5" customHeight="1">
      <c r="A26" s="80" t="s">
        <v>1841</v>
      </c>
      <c r="B26" s="82" t="s">
        <v>1853</v>
      </c>
      <c r="C26" s="80"/>
      <c r="D26" s="104">
        <f t="shared" si="4"/>
        <v>0</v>
      </c>
      <c r="E26" s="104"/>
      <c r="F26" s="104"/>
      <c r="G26" s="104"/>
      <c r="H26" s="104"/>
      <c r="I26" s="104"/>
      <c r="J26" s="104"/>
      <c r="K26" s="104"/>
      <c r="L26" s="104"/>
      <c r="M26" s="104"/>
      <c r="N26" s="104"/>
      <c r="O26" s="104"/>
      <c r="P26" s="104"/>
      <c r="Q26" s="104"/>
      <c r="R26" s="104"/>
      <c r="S26" s="104"/>
      <c r="T26" s="140"/>
    </row>
    <row r="27" spans="1:20" ht="34" customHeight="1">
      <c r="A27" s="80" t="s">
        <v>1842</v>
      </c>
      <c r="B27" s="82" t="s">
        <v>1845</v>
      </c>
      <c r="C27" s="80" t="s">
        <v>133</v>
      </c>
      <c r="D27" s="104">
        <f t="shared" si="4"/>
        <v>266.36860000000007</v>
      </c>
      <c r="E27" s="104">
        <v>8.9786000000000286</v>
      </c>
      <c r="F27" s="104">
        <v>3.2699999999999818</v>
      </c>
      <c r="G27" s="104">
        <v>4.9999999999997158E-2</v>
      </c>
      <c r="H27" s="104">
        <v>32.360000000000014</v>
      </c>
      <c r="I27" s="104">
        <v>0.29000000000000625</v>
      </c>
      <c r="J27" s="104">
        <v>0.99000000000000909</v>
      </c>
      <c r="K27" s="104">
        <v>6.9000000000000341</v>
      </c>
      <c r="L27" s="104">
        <v>1.75</v>
      </c>
      <c r="M27" s="104">
        <v>33.009999999999991</v>
      </c>
      <c r="N27" s="104">
        <v>4.710000000000008</v>
      </c>
      <c r="O27" s="104">
        <v>22.139999999999986</v>
      </c>
      <c r="P27" s="104">
        <v>97.360000000000014</v>
      </c>
      <c r="Q27" s="104">
        <v>28.5</v>
      </c>
      <c r="R27" s="104">
        <v>23.889999999999986</v>
      </c>
      <c r="S27" s="104">
        <v>2.1700000000000017</v>
      </c>
      <c r="T27" s="139">
        <v>0</v>
      </c>
    </row>
    <row r="28" spans="1:20" ht="49" customHeight="1">
      <c r="A28" s="80" t="s">
        <v>1843</v>
      </c>
      <c r="B28" s="82" t="s">
        <v>1846</v>
      </c>
      <c r="C28" s="80"/>
      <c r="D28" s="102">
        <f t="shared" si="4"/>
        <v>0</v>
      </c>
      <c r="E28" s="104"/>
      <c r="F28" s="104"/>
      <c r="G28" s="104"/>
      <c r="H28" s="104"/>
      <c r="I28" s="104"/>
      <c r="J28" s="104"/>
      <c r="K28" s="104"/>
      <c r="L28" s="104"/>
      <c r="M28" s="104"/>
      <c r="N28" s="104"/>
      <c r="O28" s="104"/>
      <c r="P28" s="104"/>
      <c r="Q28" s="104"/>
      <c r="R28" s="104"/>
      <c r="S28" s="104"/>
      <c r="T28" s="139">
        <v>0</v>
      </c>
    </row>
    <row r="29" spans="1:20" ht="54" customHeight="1">
      <c r="A29" s="80" t="s">
        <v>1844</v>
      </c>
      <c r="B29" s="82" t="s">
        <v>1847</v>
      </c>
      <c r="C29" s="80"/>
      <c r="D29" s="102">
        <f t="shared" si="4"/>
        <v>0</v>
      </c>
      <c r="E29" s="104"/>
      <c r="F29" s="104"/>
      <c r="G29" s="104"/>
      <c r="H29" s="104"/>
      <c r="I29" s="104"/>
      <c r="J29" s="104"/>
      <c r="K29" s="104"/>
      <c r="L29" s="104"/>
      <c r="M29" s="104"/>
      <c r="N29" s="104"/>
      <c r="O29" s="104"/>
      <c r="P29" s="104"/>
      <c r="Q29" s="104"/>
      <c r="R29" s="104"/>
      <c r="S29" s="104"/>
      <c r="T29" s="139">
        <v>0</v>
      </c>
    </row>
    <row r="30" spans="1:20" ht="15" customHeight="1">
      <c r="B30" s="2" t="s">
        <v>196</v>
      </c>
    </row>
    <row r="31" spans="1:20" ht="15" customHeight="1">
      <c r="B31" s="2" t="s">
        <v>197</v>
      </c>
    </row>
    <row r="32" spans="1:20" ht="22.5" customHeight="1"/>
  </sheetData>
  <mergeCells count="9">
    <mergeCell ref="A1:S1"/>
    <mergeCell ref="A2:S2"/>
    <mergeCell ref="A3:S3"/>
    <mergeCell ref="A5:A6"/>
    <mergeCell ref="B5:B6"/>
    <mergeCell ref="C5:C6"/>
    <mergeCell ref="D5:D6"/>
    <mergeCell ref="E5:S5"/>
    <mergeCell ref="A4:S4"/>
  </mergeCells>
  <printOptions horizontalCentered="1"/>
  <pageMargins left="7.874015748031496E-2" right="7.874015748031496E-2" top="0.23622047244094491" bottom="7.874015748031496E-2" header="7.874015748031496E-2" footer="7.874015748031496E-2"/>
  <pageSetup paperSize="9"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77"/>
  <sheetViews>
    <sheetView tabSelected="1" view="pageBreakPreview" zoomScale="55" zoomScaleNormal="70" zoomScaleSheetLayoutView="55" workbookViewId="0">
      <pane xSplit="2" ySplit="6" topLeftCell="C337" activePane="bottomRight" state="frozen"/>
      <selection pane="topRight" activeCell="C1" sqref="C1"/>
      <selection pane="bottomLeft" activeCell="A7" sqref="A7"/>
      <selection pane="bottomRight" activeCell="BJ342" sqref="BJ342"/>
    </sheetView>
  </sheetViews>
  <sheetFormatPr defaultColWidth="9" defaultRowHeight="19.5"/>
  <cols>
    <col min="1" max="1" width="10" style="241" customWidth="1"/>
    <col min="2" max="2" width="54.6640625" style="182" customWidth="1"/>
    <col min="3" max="3" width="9.6640625" style="214" customWidth="1"/>
    <col min="4" max="6" width="12.58203125" style="182" customWidth="1"/>
    <col min="7" max="7" width="11.83203125" style="227" hidden="1" customWidth="1"/>
    <col min="8" max="8" width="27" style="215" customWidth="1"/>
    <col min="9" max="10" width="33.58203125" style="182" hidden="1" customWidth="1"/>
    <col min="11" max="11" width="28.83203125" style="182" hidden="1" customWidth="1"/>
    <col min="12" max="12" width="64.58203125" style="182" hidden="1" customWidth="1"/>
    <col min="13" max="13" width="8.58203125" style="182" hidden="1" customWidth="1"/>
    <col min="14" max="14" width="9" style="182" hidden="1" customWidth="1"/>
    <col min="15" max="16" width="8.58203125" style="182" hidden="1" customWidth="1"/>
    <col min="17" max="17" width="8.83203125" style="182" hidden="1" customWidth="1"/>
    <col min="18" max="37" width="7.6640625" style="182" hidden="1" customWidth="1"/>
    <col min="38" max="38" width="10.1640625" style="182" hidden="1" customWidth="1"/>
    <col min="39" max="46" width="7.6640625" style="182" hidden="1" customWidth="1"/>
    <col min="47" max="47" width="9.83203125" style="182" hidden="1" customWidth="1"/>
    <col min="48" max="48" width="21.6640625" style="216" customWidth="1"/>
    <col min="49" max="49" width="21" style="216" hidden="1" customWidth="1"/>
    <col min="50" max="50" width="32.33203125" style="182" customWidth="1"/>
    <col min="51" max="51" width="30.08203125" style="182" hidden="1" customWidth="1"/>
    <col min="52" max="52" width="28.1640625" style="217" hidden="1" customWidth="1"/>
    <col min="53" max="53" width="43.1640625" style="218" hidden="1" customWidth="1"/>
    <col min="54" max="54" width="36.33203125" style="182" customWidth="1"/>
    <col min="55" max="55" width="10.33203125" style="190" hidden="1" customWidth="1"/>
    <col min="56" max="57" width="8.33203125" style="190" hidden="1" customWidth="1"/>
    <col min="58" max="58" width="9.5" style="190" hidden="1" customWidth="1"/>
    <col min="59" max="59" width="8.33203125" style="190" hidden="1" customWidth="1"/>
    <col min="60" max="60" width="62.5" style="219" hidden="1" customWidth="1"/>
    <col min="61" max="61" width="25.4140625" style="409" hidden="1" customWidth="1"/>
    <col min="62" max="62" width="27.83203125" style="409" customWidth="1"/>
    <col min="63" max="63" width="9" style="182" customWidth="1"/>
    <col min="64" max="16384" width="9" style="182"/>
  </cols>
  <sheetData>
    <row r="1" spans="1:62" s="220" customFormat="1" ht="33" customHeight="1">
      <c r="A1" s="588" t="s">
        <v>150</v>
      </c>
      <c r="B1" s="588"/>
      <c r="C1" s="374"/>
      <c r="G1" s="221"/>
      <c r="H1" s="222"/>
      <c r="AV1" s="223"/>
      <c r="AW1" s="223"/>
      <c r="AY1" s="408" t="s">
        <v>1859</v>
      </c>
      <c r="AZ1" s="224"/>
      <c r="BA1" s="225"/>
      <c r="BC1" s="226"/>
      <c r="BD1" s="226"/>
      <c r="BE1" s="226"/>
      <c r="BF1" s="226"/>
      <c r="BG1" s="226"/>
      <c r="BH1" s="225"/>
      <c r="BI1" s="409"/>
      <c r="BJ1" s="409"/>
    </row>
    <row r="2" spans="1:62" s="220" customFormat="1" ht="24.75" customHeight="1">
      <c r="A2" s="589" t="s">
        <v>1860</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89"/>
      <c r="AW2" s="589"/>
      <c r="AX2" s="589"/>
      <c r="AY2" s="589"/>
      <c r="AZ2" s="589"/>
      <c r="BA2" s="589"/>
      <c r="BB2" s="589"/>
      <c r="BC2" s="589"/>
      <c r="BD2" s="589"/>
      <c r="BE2" s="589"/>
      <c r="BF2" s="589"/>
      <c r="BG2" s="589"/>
      <c r="BH2" s="589"/>
      <c r="BI2" s="409"/>
      <c r="BJ2" s="409"/>
    </row>
    <row r="3" spans="1:62" s="220" customFormat="1" ht="24.75" customHeight="1">
      <c r="A3" s="589" t="s">
        <v>214</v>
      </c>
      <c r="B3" s="589"/>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c r="AM3" s="589"/>
      <c r="AN3" s="589"/>
      <c r="AO3" s="589"/>
      <c r="AP3" s="589"/>
      <c r="AQ3" s="589"/>
      <c r="AR3" s="589"/>
      <c r="AS3" s="589"/>
      <c r="AT3" s="589"/>
      <c r="AU3" s="589"/>
      <c r="AV3" s="589"/>
      <c r="AW3" s="589"/>
      <c r="AX3" s="589"/>
      <c r="AY3" s="589"/>
      <c r="AZ3" s="589"/>
      <c r="BA3" s="589"/>
      <c r="BB3" s="589"/>
      <c r="BC3" s="589"/>
      <c r="BD3" s="589"/>
      <c r="BE3" s="589"/>
      <c r="BF3" s="589"/>
      <c r="BG3" s="589"/>
      <c r="BH3" s="589"/>
      <c r="BI3" s="409"/>
      <c r="BJ3" s="409"/>
    </row>
    <row r="4" spans="1:62" ht="19.25" customHeight="1"/>
    <row r="5" spans="1:62" s="228" customFormat="1" ht="36.75" customHeight="1">
      <c r="A5" s="590" t="s">
        <v>1</v>
      </c>
      <c r="B5" s="591" t="s">
        <v>213</v>
      </c>
      <c r="C5" s="592" t="s">
        <v>1699</v>
      </c>
      <c r="D5" s="592" t="s">
        <v>240</v>
      </c>
      <c r="E5" s="592" t="s">
        <v>241</v>
      </c>
      <c r="F5" s="592" t="s">
        <v>242</v>
      </c>
      <c r="G5" s="592" t="s">
        <v>167</v>
      </c>
      <c r="H5" s="592" t="s">
        <v>243</v>
      </c>
      <c r="I5" s="592" t="s">
        <v>985</v>
      </c>
      <c r="J5" s="592" t="s">
        <v>986</v>
      </c>
      <c r="K5" s="592" t="s">
        <v>244</v>
      </c>
      <c r="L5" s="592" t="s">
        <v>245</v>
      </c>
      <c r="M5" s="592" t="s">
        <v>7</v>
      </c>
      <c r="N5" s="592" t="s">
        <v>8</v>
      </c>
      <c r="O5" s="592" t="s">
        <v>11</v>
      </c>
      <c r="P5" s="592" t="s">
        <v>13</v>
      </c>
      <c r="Q5" s="592" t="s">
        <v>18</v>
      </c>
      <c r="R5" s="592" t="s">
        <v>20</v>
      </c>
      <c r="S5" s="592" t="s">
        <v>30</v>
      </c>
      <c r="T5" s="592" t="s">
        <v>87</v>
      </c>
      <c r="U5" s="592" t="s">
        <v>88</v>
      </c>
      <c r="V5" s="592" t="s">
        <v>32</v>
      </c>
      <c r="W5" s="592" t="s">
        <v>42</v>
      </c>
      <c r="X5" s="592" t="s">
        <v>43</v>
      </c>
      <c r="Y5" s="592" t="s">
        <v>46</v>
      </c>
      <c r="Z5" s="592" t="s">
        <v>47</v>
      </c>
      <c r="AA5" s="592" t="s">
        <v>48</v>
      </c>
      <c r="AB5" s="592" t="s">
        <v>49</v>
      </c>
      <c r="AC5" s="592" t="s">
        <v>44</v>
      </c>
      <c r="AD5" s="592" t="s">
        <v>45</v>
      </c>
      <c r="AE5" s="592" t="s">
        <v>35</v>
      </c>
      <c r="AF5" s="592" t="s">
        <v>36</v>
      </c>
      <c r="AG5" s="592" t="s">
        <v>37</v>
      </c>
      <c r="AH5" s="592" t="s">
        <v>39</v>
      </c>
      <c r="AI5" s="592" t="s">
        <v>52</v>
      </c>
      <c r="AJ5" s="592" t="s">
        <v>100</v>
      </c>
      <c r="AK5" s="592" t="s">
        <v>101</v>
      </c>
      <c r="AL5" s="592" t="s">
        <v>56</v>
      </c>
      <c r="AM5" s="592" t="s">
        <v>55</v>
      </c>
      <c r="AN5" s="592" t="s">
        <v>24</v>
      </c>
      <c r="AO5" s="592" t="s">
        <v>92</v>
      </c>
      <c r="AP5" s="592" t="s">
        <v>38</v>
      </c>
      <c r="AQ5" s="592" t="s">
        <v>40</v>
      </c>
      <c r="AR5" s="592" t="s">
        <v>79</v>
      </c>
      <c r="AS5" s="592" t="s">
        <v>26</v>
      </c>
      <c r="AT5" s="592" t="s">
        <v>28</v>
      </c>
      <c r="AU5" s="592" t="s">
        <v>41</v>
      </c>
      <c r="AV5" s="592" t="s">
        <v>246</v>
      </c>
      <c r="AW5" s="592" t="s">
        <v>987</v>
      </c>
      <c r="AX5" s="592" t="s">
        <v>247</v>
      </c>
      <c r="AY5" s="600" t="s">
        <v>988</v>
      </c>
      <c r="AZ5" s="592" t="s">
        <v>248</v>
      </c>
      <c r="BA5" s="592" t="s">
        <v>249</v>
      </c>
      <c r="BB5" s="592" t="s">
        <v>250</v>
      </c>
      <c r="BC5" s="592" t="s">
        <v>251</v>
      </c>
      <c r="BD5" s="593" t="s">
        <v>252</v>
      </c>
      <c r="BE5" s="593" t="s">
        <v>253</v>
      </c>
      <c r="BF5" s="593" t="s">
        <v>254</v>
      </c>
      <c r="BG5" s="593" t="s">
        <v>255</v>
      </c>
      <c r="BH5" s="592" t="s">
        <v>256</v>
      </c>
      <c r="BI5" s="409"/>
      <c r="BJ5" s="409"/>
    </row>
    <row r="6" spans="1:62" s="228" customFormat="1" ht="18.75" customHeight="1">
      <c r="A6" s="590"/>
      <c r="B6" s="591"/>
      <c r="C6" s="592"/>
      <c r="D6" s="592"/>
      <c r="E6" s="592"/>
      <c r="F6" s="592"/>
      <c r="G6" s="592"/>
      <c r="H6" s="592"/>
      <c r="I6" s="592"/>
      <c r="J6" s="592"/>
      <c r="K6" s="592"/>
      <c r="L6" s="592"/>
      <c r="M6" s="592"/>
      <c r="N6" s="592"/>
      <c r="O6" s="592"/>
      <c r="P6" s="592"/>
      <c r="Q6" s="592"/>
      <c r="R6" s="592"/>
      <c r="S6" s="592"/>
      <c r="T6" s="592"/>
      <c r="U6" s="592"/>
      <c r="V6" s="592"/>
      <c r="W6" s="592"/>
      <c r="X6" s="592"/>
      <c r="Y6" s="592"/>
      <c r="Z6" s="592"/>
      <c r="AA6" s="592"/>
      <c r="AB6" s="592"/>
      <c r="AC6" s="592"/>
      <c r="AD6" s="592"/>
      <c r="AE6" s="592"/>
      <c r="AF6" s="592"/>
      <c r="AG6" s="592"/>
      <c r="AH6" s="592"/>
      <c r="AI6" s="592"/>
      <c r="AJ6" s="592"/>
      <c r="AK6" s="592"/>
      <c r="AL6" s="592"/>
      <c r="AM6" s="592"/>
      <c r="AN6" s="592"/>
      <c r="AO6" s="592"/>
      <c r="AP6" s="592"/>
      <c r="AQ6" s="592"/>
      <c r="AR6" s="592"/>
      <c r="AS6" s="592"/>
      <c r="AT6" s="592"/>
      <c r="AU6" s="592"/>
      <c r="AV6" s="592"/>
      <c r="AW6" s="592"/>
      <c r="AX6" s="592"/>
      <c r="AY6" s="600"/>
      <c r="AZ6" s="592"/>
      <c r="BA6" s="592"/>
      <c r="BB6" s="592"/>
      <c r="BC6" s="592"/>
      <c r="BD6" s="594"/>
      <c r="BE6" s="594"/>
      <c r="BF6" s="594"/>
      <c r="BG6" s="594"/>
      <c r="BH6" s="592"/>
      <c r="BI6" s="409"/>
      <c r="BJ6" s="409"/>
    </row>
    <row r="7" spans="1:62" s="228" customFormat="1" ht="45.75" customHeight="1">
      <c r="A7" s="375" t="s">
        <v>77</v>
      </c>
      <c r="B7" s="152" t="s">
        <v>1710</v>
      </c>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c r="AH7" s="371"/>
      <c r="AI7" s="371"/>
      <c r="AJ7" s="371"/>
      <c r="AK7" s="371"/>
      <c r="AL7" s="371"/>
      <c r="AM7" s="371"/>
      <c r="AN7" s="371"/>
      <c r="AO7" s="371"/>
      <c r="AP7" s="371"/>
      <c r="AQ7" s="371"/>
      <c r="AR7" s="371"/>
      <c r="AS7" s="371"/>
      <c r="AT7" s="371"/>
      <c r="AU7" s="371"/>
      <c r="AV7" s="371"/>
      <c r="AW7" s="371"/>
      <c r="AX7" s="371"/>
      <c r="AY7" s="373"/>
      <c r="AZ7" s="371"/>
      <c r="BA7" s="371"/>
      <c r="BB7" s="371"/>
      <c r="BC7" s="371"/>
      <c r="BD7" s="369"/>
      <c r="BE7" s="369"/>
      <c r="BF7" s="369"/>
      <c r="BG7" s="369"/>
      <c r="BH7" s="371"/>
      <c r="BI7" s="409"/>
      <c r="BJ7" s="409"/>
    </row>
    <row r="8" spans="1:62" s="228" customFormat="1" ht="27" customHeight="1">
      <c r="A8" s="151" t="s">
        <v>6</v>
      </c>
      <c r="B8" s="152" t="s">
        <v>1708</v>
      </c>
      <c r="C8" s="371"/>
      <c r="D8" s="371"/>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1"/>
      <c r="AP8" s="371"/>
      <c r="AQ8" s="371"/>
      <c r="AR8" s="371"/>
      <c r="AS8" s="371"/>
      <c r="AT8" s="371"/>
      <c r="AU8" s="371"/>
      <c r="AV8" s="371"/>
      <c r="AW8" s="371"/>
      <c r="AX8" s="371"/>
      <c r="AY8" s="373"/>
      <c r="AZ8" s="371"/>
      <c r="BA8" s="371"/>
      <c r="BB8" s="371"/>
      <c r="BC8" s="371"/>
      <c r="BD8" s="369"/>
      <c r="BE8" s="369"/>
      <c r="BF8" s="369"/>
      <c r="BG8" s="369"/>
      <c r="BH8" s="371"/>
      <c r="BI8" s="409"/>
      <c r="BJ8" s="409"/>
    </row>
    <row r="9" spans="1:62" ht="25" customHeight="1">
      <c r="A9" s="151" t="s">
        <v>57</v>
      </c>
      <c r="B9" s="152" t="s">
        <v>64</v>
      </c>
      <c r="C9" s="153"/>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30"/>
      <c r="AW9" s="230"/>
      <c r="AX9" s="230"/>
      <c r="AY9" s="256"/>
      <c r="AZ9" s="371"/>
      <c r="BA9" s="230"/>
      <c r="BB9" s="230"/>
      <c r="BC9" s="371"/>
      <c r="BD9" s="371"/>
      <c r="BE9" s="371"/>
      <c r="BF9" s="371"/>
      <c r="BG9" s="371"/>
      <c r="BH9" s="230"/>
    </row>
    <row r="10" spans="1:62" s="179" customFormat="1" ht="24.65" customHeight="1">
      <c r="A10" s="145"/>
      <c r="B10" s="163" t="s">
        <v>1757</v>
      </c>
      <c r="C10" s="164"/>
      <c r="D10" s="368"/>
      <c r="E10" s="368"/>
      <c r="F10" s="368"/>
      <c r="G10" s="410"/>
      <c r="H10" s="411"/>
      <c r="I10" s="411"/>
      <c r="J10" s="411"/>
      <c r="K10" s="411"/>
      <c r="L10" s="411"/>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8"/>
      <c r="AP10" s="368"/>
      <c r="AQ10" s="368"/>
      <c r="AR10" s="368"/>
      <c r="AS10" s="368"/>
      <c r="AT10" s="368"/>
      <c r="AU10" s="368"/>
      <c r="AV10" s="368"/>
      <c r="AW10" s="368"/>
      <c r="AX10" s="368"/>
      <c r="AY10" s="257"/>
      <c r="AZ10" s="178"/>
      <c r="BA10" s="368"/>
      <c r="BB10" s="368"/>
      <c r="BC10" s="165"/>
      <c r="BD10" s="165"/>
      <c r="BE10" s="165"/>
      <c r="BF10" s="165"/>
      <c r="BG10" s="165"/>
      <c r="BH10" s="368"/>
      <c r="BI10" s="412"/>
      <c r="BJ10" s="412"/>
    </row>
    <row r="11" spans="1:62" s="179" customFormat="1" ht="53.25" customHeight="1">
      <c r="A11" s="595">
        <f>SUBTOTAL(3,C11:$C$11)</f>
        <v>1</v>
      </c>
      <c r="B11" s="596" t="s">
        <v>257</v>
      </c>
      <c r="C11" s="597" t="s">
        <v>26</v>
      </c>
      <c r="D11" s="598">
        <v>4</v>
      </c>
      <c r="E11" s="599"/>
      <c r="F11" s="598">
        <v>4</v>
      </c>
      <c r="G11" s="410"/>
      <c r="H11" s="413" t="s">
        <v>989</v>
      </c>
      <c r="I11" s="413" t="s">
        <v>990</v>
      </c>
      <c r="J11" s="411"/>
      <c r="K11" s="411"/>
      <c r="L11" s="411"/>
      <c r="M11" s="368"/>
      <c r="N11" s="368"/>
      <c r="O11" s="368"/>
      <c r="P11" s="368"/>
      <c r="Q11" s="368"/>
      <c r="R11" s="368"/>
      <c r="S11" s="368"/>
      <c r="T11" s="368"/>
      <c r="U11" s="368"/>
      <c r="V11" s="368"/>
      <c r="W11" s="368"/>
      <c r="X11" s="368"/>
      <c r="Y11" s="368"/>
      <c r="Z11" s="368"/>
      <c r="AA11" s="368"/>
      <c r="AB11" s="368"/>
      <c r="AC11" s="368"/>
      <c r="AD11" s="368"/>
      <c r="AE11" s="368"/>
      <c r="AF11" s="368"/>
      <c r="AG11" s="368"/>
      <c r="AH11" s="368"/>
      <c r="AI11" s="368"/>
      <c r="AJ11" s="368"/>
      <c r="AK11" s="368"/>
      <c r="AL11" s="368"/>
      <c r="AM11" s="368"/>
      <c r="AN11" s="368"/>
      <c r="AO11" s="368"/>
      <c r="AP11" s="368"/>
      <c r="AQ11" s="368"/>
      <c r="AR11" s="368"/>
      <c r="AS11" s="368"/>
      <c r="AT11" s="368"/>
      <c r="AU11" s="368"/>
      <c r="AV11" s="351" t="s">
        <v>991</v>
      </c>
      <c r="AW11" s="368"/>
      <c r="AX11" s="351" t="s">
        <v>992</v>
      </c>
      <c r="AY11" s="257"/>
      <c r="AZ11" s="202" t="s">
        <v>993</v>
      </c>
      <c r="BA11" s="368"/>
      <c r="BB11" s="368"/>
      <c r="BC11" s="180"/>
      <c r="BD11" s="165"/>
      <c r="BE11" s="165"/>
      <c r="BF11" s="165"/>
      <c r="BG11" s="165"/>
      <c r="BH11" s="242"/>
      <c r="BI11" s="412"/>
      <c r="BJ11" s="412"/>
    </row>
    <row r="12" spans="1:62" ht="42" customHeight="1">
      <c r="A12" s="595"/>
      <c r="B12" s="596"/>
      <c r="C12" s="597"/>
      <c r="D12" s="598"/>
      <c r="E12" s="599"/>
      <c r="F12" s="598"/>
      <c r="G12" s="414">
        <f>SUM(M12:AR12)</f>
        <v>3.2698489999999998</v>
      </c>
      <c r="H12" s="413" t="s">
        <v>989</v>
      </c>
      <c r="I12" s="413" t="s">
        <v>990</v>
      </c>
      <c r="J12" s="413"/>
      <c r="K12" s="413" t="str">
        <f>IF(M12&lt;&gt;0,$M$5&amp;", ","")&amp;IF(N12&lt;&gt;0,$N$5&amp;", ","")&amp;IF(O12&lt;&gt;0,O$5&amp;", ","")&amp;IF(P12&lt;&gt;0,P$5&amp;", ","")&amp;IF(Q12&lt;&gt;0,Q$5&amp;", ","")&amp;IF(R12&lt;&gt;0,R$5&amp;", ","")&amp;IF(S12&lt;&gt;0,S$5&amp;", ","")&amp;IF(T12&lt;&gt;0,T$5&amp;", ","")&amp;IF(U12&lt;&gt;0,U$5&amp;", ","")&amp;IF(V12&lt;&gt;0,V$5&amp;", ","")&amp;IF(W12&lt;&gt;0,W$5&amp;", ","")&amp;IF(X12&lt;&gt;0,X$5&amp;", ","")&amp;IF(Y12&lt;&gt;0,Y$5&amp;", ","")&amp;IF(Z12&lt;&gt;0,Z$5&amp;", ","")&amp;IF(AA12&lt;&gt;0,AA$5&amp;", ","")&amp;IF(AB12&lt;&gt;0,AB$5&amp;", ","")&amp;IF(AC12&lt;&gt;0,AC$5&amp;", ","")&amp;IF(AD12&lt;&gt;0,AD$5&amp;", ","")&amp;IF(AE12&lt;&gt;0,AE$5&amp;", ","")&amp;IF(AF12&lt;&gt;0,AF$5&amp;", ","")&amp;IF(AG12&lt;&gt;0,AG$5&amp;", ","")&amp;IF(AH12&lt;&gt;0,AH$5&amp;", ","")&amp;IF(AI12&lt;&gt;0,AI$5&amp;", ","")&amp;IF(AJ12&lt;&gt;0,AJ$5&amp;", ","")&amp;IF(AK12&lt;&gt;0,AK$5&amp;", ","")&amp;IF(AL12&lt;&gt;0,AL$5&amp;", ","")&amp;IF(AM12&lt;&gt;0,AM$5&amp;", ","")&amp;IF(AN12&lt;&gt;0,AN$5&amp;", ","")&amp;IF(AO12&lt;&gt;0,AO$5&amp;", ","")&amp;IF(AP12&lt;&gt;0,AP$5&amp;", ","")&amp;IF(AQ12&lt;&gt;0,AQ$5&amp;", ","")&amp;IF(AR12&lt;&gt;0,AR$5,"")&amp;IF(AS12&lt;&gt;0,AS$5,"")&amp;IF(AT12&lt;&gt;0,AT$5,"")&amp;IF(AU12&lt;&gt;0,AU$5,"")</f>
        <v xml:space="preserve">LUC, CLN, ONT, SON, </v>
      </c>
      <c r="L12" s="413" t="str">
        <f>IF(M12="","",$M$5&amp;":"&amp;M12&amp;";")&amp;IF(N12="","",$N$5&amp;":"&amp;N12&amp;";")&amp;IF(O12="","",$O$5&amp;":"&amp;O12&amp;";")&amp;IF(P12="","",$P$5&amp;":"&amp;P12&amp;";")&amp;IF(Q12="","",$Q$5&amp;":"&amp;Q12&amp;";")&amp;IF(R12="","",$R$5&amp;":"&amp;R12&amp;";")&amp;IF(S12="","",$S$5&amp;":"&amp;S12&amp;";")&amp;IF(T12="","",$T$5&amp;":"&amp;T12&amp;";")&amp;IF(U12="","",$U$5&amp;":"&amp;U12&amp;";")&amp;IF(V12="","",$V$5&amp;":"&amp;V12&amp;";")&amp;IF(W12="","",$W$5&amp;":"&amp;W12&amp;";")&amp;IF(X12="","",$X$5&amp;":"&amp;X12&amp;";")&amp;IF(Y12="","",$Y$5&amp;":"&amp;Y12&amp;";")&amp;IF(Z12="","",$Z$5&amp;":"&amp;Z12&amp;";")&amp;IF(AA12="","",$AA$5&amp;":"&amp;AA12&amp;";")&amp;IF(AB12="","",$AB$5&amp;":"&amp;AB12&amp;";")&amp;IF(AC12="","",$AC$5&amp;":"&amp;AC12&amp;";")&amp;IF(AD12="","",$AD$5&amp;":"&amp;AD12&amp;";")&amp;IF(AE12="","",$AE$5&amp;":"&amp;AE12&amp;";")&amp;IF(AF12="","",$AF$5&amp;":"&amp;AF12&amp;";")&amp;IF(AG12="","",$AG$5&amp;":"&amp;AG12&amp;";")&amp;IF(AH12="","",$AH$5&amp;":"&amp;AH12&amp;";")&amp;IF(AI12="","",$AI$5&amp;":"&amp;AI12&amp;";")&amp;IF(AJ12="","",$AJ$5&amp;":"&amp;AJ12&amp;";")&amp;IF(AK12="","",$AK$5&amp;":"&amp;AK12&amp;";")&amp;IF(AL12="","",$AL$5&amp;":"&amp;AL12&amp;";")&amp;IF(AM12="","",$AM$5&amp;":"&amp;AM12&amp;";")&amp;IF(AN12="","",$AN$5&amp;":"&amp;AN12&amp;";")&amp;IF(AO12="","",$AO$5&amp;":"&amp;AO12&amp;";")&amp;IF(AP12="","",$AP$5&amp;":"&amp;AP12&amp;";")&amp;IF(AQ12="","",$AQ$5&amp;":"&amp;AQ12&amp;";")&amp;IF(AR12="","",$AR$5&amp;":"&amp;AR12&amp;";")&amp;IF(AS12="","",$AS$5&amp;":"&amp;AS12&amp;";")&amp;IF(AT12="","",$AT$5&amp;":"&amp;AT12&amp;";")&amp;IF(AU12="","",$AU$5&amp;":"&amp;AU12&amp;";")</f>
        <v>LUC:1,898622;CLN:0,402738;ONT:0,412327;SON:0,556162;</v>
      </c>
      <c r="M12" s="415">
        <f>1.98*95.89%</f>
        <v>1.898622</v>
      </c>
      <c r="N12" s="413"/>
      <c r="O12" s="413"/>
      <c r="P12" s="415">
        <f>0.42*95.89%</f>
        <v>0.40273799999999998</v>
      </c>
      <c r="Q12" s="413"/>
      <c r="R12" s="413"/>
      <c r="S12" s="413"/>
      <c r="T12" s="413"/>
      <c r="U12" s="413"/>
      <c r="V12" s="413"/>
      <c r="W12" s="413"/>
      <c r="X12" s="413"/>
      <c r="Y12" s="413"/>
      <c r="Z12" s="413"/>
      <c r="AA12" s="413"/>
      <c r="AB12" s="413"/>
      <c r="AC12" s="413"/>
      <c r="AD12" s="413"/>
      <c r="AE12" s="413"/>
      <c r="AF12" s="413"/>
      <c r="AG12" s="413"/>
      <c r="AH12" s="413"/>
      <c r="AI12" s="413"/>
      <c r="AJ12" s="413"/>
      <c r="AK12" s="413"/>
      <c r="AL12" s="415">
        <f>0.43*95.89%</f>
        <v>0.412327</v>
      </c>
      <c r="AM12" s="413"/>
      <c r="AN12" s="413"/>
      <c r="AO12" s="413"/>
      <c r="AP12" s="413"/>
      <c r="AQ12" s="415">
        <f>0.58*95.89%</f>
        <v>0.55616199999999993</v>
      </c>
      <c r="AR12" s="413"/>
      <c r="AS12" s="413"/>
      <c r="AT12" s="413"/>
      <c r="AU12" s="413"/>
      <c r="AV12" s="607" t="s">
        <v>991</v>
      </c>
      <c r="AW12" s="346" t="s">
        <v>258</v>
      </c>
      <c r="AX12" s="607" t="s">
        <v>992</v>
      </c>
      <c r="AY12" s="258" t="s">
        <v>259</v>
      </c>
      <c r="AZ12" s="202" t="s">
        <v>993</v>
      </c>
      <c r="BA12" s="607" t="s">
        <v>260</v>
      </c>
      <c r="BB12" s="607" t="s">
        <v>261</v>
      </c>
      <c r="BC12" s="593" t="s">
        <v>262</v>
      </c>
      <c r="BD12" s="371"/>
      <c r="BE12" s="371"/>
      <c r="BF12" s="371"/>
      <c r="BG12" s="371" t="s">
        <v>263</v>
      </c>
      <c r="BH12" s="601" t="s">
        <v>264</v>
      </c>
    </row>
    <row r="13" spans="1:62" ht="42" customHeight="1">
      <c r="A13" s="595"/>
      <c r="B13" s="596"/>
      <c r="C13" s="597"/>
      <c r="D13" s="598"/>
      <c r="E13" s="599"/>
      <c r="F13" s="598"/>
      <c r="G13" s="414">
        <f>SUM(M13:AR13)</f>
        <v>0.73</v>
      </c>
      <c r="H13" s="413" t="s">
        <v>40</v>
      </c>
      <c r="I13" s="413" t="s">
        <v>40</v>
      </c>
      <c r="J13" s="413"/>
      <c r="K13" s="413" t="str">
        <f>IF(M13&lt;&gt;0,$M$5&amp;", ","")&amp;IF(N13&lt;&gt;0,$N$5&amp;", ","")&amp;IF(O13&lt;&gt;0,O$5&amp;", ","")&amp;IF(P13&lt;&gt;0,P$5&amp;", ","")&amp;IF(Q13&lt;&gt;0,Q$5&amp;", ","")&amp;IF(R13&lt;&gt;0,R$5&amp;", ","")&amp;IF(S13&lt;&gt;0,S$5&amp;", ","")&amp;IF(T13&lt;&gt;0,T$5&amp;", ","")&amp;IF(U13&lt;&gt;0,U$5&amp;", ","")&amp;IF(V13&lt;&gt;0,V$5&amp;", ","")&amp;IF(W13&lt;&gt;0,W$5&amp;", ","")&amp;IF(X13&lt;&gt;0,X$5&amp;", ","")&amp;IF(Y13&lt;&gt;0,Y$5&amp;", ","")&amp;IF(Z13&lt;&gt;0,Z$5&amp;", ","")&amp;IF(AA13&lt;&gt;0,AA$5&amp;", ","")&amp;IF(AB13&lt;&gt;0,AB$5&amp;", ","")&amp;IF(AC13&lt;&gt;0,AC$5&amp;", ","")&amp;IF(AD13&lt;&gt;0,AD$5&amp;", ","")&amp;IF(AE13&lt;&gt;0,AE$5&amp;", ","")&amp;IF(AF13&lt;&gt;0,AF$5&amp;", ","")&amp;IF(AG13&lt;&gt;0,AG$5&amp;", ","")&amp;IF(AH13&lt;&gt;0,AH$5&amp;", ","")&amp;IF(AI13&lt;&gt;0,AI$5&amp;", ","")&amp;IF(AJ13&lt;&gt;0,AJ$5&amp;", ","")&amp;IF(AK13&lt;&gt;0,AK$5&amp;", ","")&amp;IF(AL13&lt;&gt;0,AL$5&amp;", ","")&amp;IF(AM13&lt;&gt;0,AM$5&amp;", ","")&amp;IF(AN13&lt;&gt;0,AN$5&amp;", ","")&amp;IF(AO13&lt;&gt;0,AO$5&amp;", ","")&amp;IF(AP13&lt;&gt;0,AP$5&amp;", ","")&amp;IF(AQ13&lt;&gt;0,AQ$5&amp;", ","")&amp;IF(AR13&lt;&gt;0,AR$5,"")&amp;IF(AS13&lt;&gt;0,AS$5,"")&amp;IF(AT13&lt;&gt;0,AT$5,"")&amp;IF(AU13&lt;&gt;0,AU$5,"")</f>
        <v xml:space="preserve">SON, </v>
      </c>
      <c r="L13" s="413" t="str">
        <f>IF(M13="","",$M$5&amp;":"&amp;M13&amp;";")&amp;IF(N13="","",$N$5&amp;":"&amp;N13&amp;";")&amp;IF(O13="","",$O$5&amp;":"&amp;O13&amp;";")&amp;IF(P13="","",$P$5&amp;":"&amp;P13&amp;";")&amp;IF(Q13="","",$Q$5&amp;":"&amp;Q13&amp;";")&amp;IF(R13="","",$R$5&amp;":"&amp;R13&amp;";")&amp;IF(S13="","",$S$5&amp;":"&amp;S13&amp;";")&amp;IF(T13="","",$T$5&amp;":"&amp;T13&amp;";")&amp;IF(U13="","",$U$5&amp;":"&amp;U13&amp;";")&amp;IF(V13="","",$V$5&amp;":"&amp;V13&amp;";")&amp;IF(W13="","",$W$5&amp;":"&amp;W13&amp;";")&amp;IF(X13="","",$X$5&amp;":"&amp;X13&amp;";")&amp;IF(Y13="","",$Y$5&amp;":"&amp;Y13&amp;";")&amp;IF(Z13="","",$Z$5&amp;":"&amp;Z13&amp;";")&amp;IF(AA13="","",$AA$5&amp;":"&amp;AA13&amp;";")&amp;IF(AB13="","",$AB$5&amp;":"&amp;AB13&amp;";")&amp;IF(AC13="","",$AC$5&amp;":"&amp;AC13&amp;";")&amp;IF(AD13="","",$AD$5&amp;":"&amp;AD13&amp;";")&amp;IF(AE13="","",$AE$5&amp;":"&amp;AE13&amp;";")&amp;IF(AF13="","",$AF$5&amp;":"&amp;AF13&amp;";")&amp;IF(AG13="","",$AG$5&amp;":"&amp;AG13&amp;";")&amp;IF(AH13="","",$AH$5&amp;":"&amp;AH13&amp;";")&amp;IF(AI13="","",$AI$5&amp;":"&amp;AI13&amp;";")&amp;IF(AJ13="","",$AJ$5&amp;":"&amp;AJ13&amp;";")&amp;IF(AK13="","",$AK$5&amp;":"&amp;AK13&amp;";")&amp;IF(AL13="","",$AL$5&amp;":"&amp;AL13&amp;";")&amp;IF(AM13="","",$AM$5&amp;":"&amp;AM13&amp;";")&amp;IF(AN13="","",$AN$5&amp;":"&amp;AN13&amp;";")&amp;IF(AO13="","",$AO$5&amp;":"&amp;AO13&amp;";")&amp;IF(AP13="","",$AP$5&amp;":"&amp;AP13&amp;";")&amp;IF(AQ13="","",$AQ$5&amp;":"&amp;AQ13&amp;";")&amp;IF(AR13="","",$AR$5&amp;":"&amp;AR13&amp;";")&amp;IF(AS13="","",$AS$5&amp;":"&amp;AS13&amp;";")&amp;IF(AT13="","",$AT$5&amp;":"&amp;AT13&amp;";")&amp;IF(AU13="","",$AU$5&amp;":"&amp;AU13&amp;";")</f>
        <v>SON:0,73;</v>
      </c>
      <c r="M13" s="413"/>
      <c r="N13" s="413"/>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3"/>
      <c r="AP13" s="413"/>
      <c r="AQ13" s="413">
        <v>0.73</v>
      </c>
      <c r="AR13" s="413"/>
      <c r="AS13" s="413"/>
      <c r="AT13" s="413"/>
      <c r="AU13" s="413"/>
      <c r="AV13" s="607"/>
      <c r="AW13" s="346" t="s">
        <v>217</v>
      </c>
      <c r="AX13" s="607"/>
      <c r="AY13" s="258" t="s">
        <v>265</v>
      </c>
      <c r="AZ13" s="202"/>
      <c r="BA13" s="607"/>
      <c r="BB13" s="607"/>
      <c r="BC13" s="594"/>
      <c r="BD13" s="371"/>
      <c r="BE13" s="371"/>
      <c r="BF13" s="371"/>
      <c r="BG13" s="371" t="s">
        <v>263</v>
      </c>
      <c r="BH13" s="602"/>
    </row>
    <row r="14" spans="1:62" ht="42" customHeight="1">
      <c r="A14" s="348">
        <f>SUBTOTAL(3,C$11:$C14)</f>
        <v>2</v>
      </c>
      <c r="B14" s="367" t="s">
        <v>994</v>
      </c>
      <c r="C14" s="357" t="s">
        <v>26</v>
      </c>
      <c r="D14" s="347">
        <v>0.23400000000000001</v>
      </c>
      <c r="E14" s="357"/>
      <c r="F14" s="347">
        <v>0.23400000000000001</v>
      </c>
      <c r="G14" s="414">
        <f>SUM(M14:AR14)</f>
        <v>0.23</v>
      </c>
      <c r="H14" s="413" t="s">
        <v>48</v>
      </c>
      <c r="I14" s="413" t="s">
        <v>48</v>
      </c>
      <c r="J14" s="413"/>
      <c r="K14" s="413" t="str">
        <f>IF(M14&lt;&gt;0,$M$5&amp;", ","")&amp;IF(N14&lt;&gt;0,$N$5&amp;", ","")&amp;IF(O14&lt;&gt;0,O$5&amp;", ","")&amp;IF(P14&lt;&gt;0,P$5&amp;", ","")&amp;IF(Q14&lt;&gt;0,Q$5&amp;", ","")&amp;IF(R14&lt;&gt;0,R$5&amp;", ","")&amp;IF(S14&lt;&gt;0,S$5&amp;", ","")&amp;IF(T14&lt;&gt;0,T$5&amp;", ","")&amp;IF(U14&lt;&gt;0,U$5&amp;", ","")&amp;IF(V14&lt;&gt;0,V$5&amp;", ","")&amp;IF(W14&lt;&gt;0,W$5&amp;", ","")&amp;IF(X14&lt;&gt;0,X$5&amp;", ","")&amp;IF(Y14&lt;&gt;0,Y$5&amp;", ","")&amp;IF(Z14&lt;&gt;0,Z$5&amp;", ","")&amp;IF(AA14&lt;&gt;0,AA$5&amp;", ","")&amp;IF(AB14&lt;&gt;0,AB$5&amp;", ","")&amp;IF(AC14&lt;&gt;0,AC$5&amp;", ","")&amp;IF(AD14&lt;&gt;0,AD$5&amp;", ","")&amp;IF(AE14&lt;&gt;0,AE$5&amp;", ","")&amp;IF(AF14&lt;&gt;0,AF$5&amp;", ","")&amp;IF(AG14&lt;&gt;0,AG$5&amp;", ","")&amp;IF(AH14&lt;&gt;0,AH$5&amp;", ","")&amp;IF(AI14&lt;&gt;0,AI$5&amp;", ","")&amp;IF(AJ14&lt;&gt;0,AJ$5&amp;", ","")&amp;IF(AK14&lt;&gt;0,AK$5&amp;", ","")&amp;IF(AL14&lt;&gt;0,AL$5&amp;", ","")&amp;IF(AM14&lt;&gt;0,AM$5&amp;", ","")&amp;IF(AN14&lt;&gt;0,AN$5&amp;", ","")&amp;IF(AO14&lt;&gt;0,AO$5&amp;", ","")&amp;IF(AP14&lt;&gt;0,AP$5&amp;", ","")&amp;IF(AQ14&lt;&gt;0,AQ$5&amp;", ","")&amp;IF(AR14&lt;&gt;0,AR$5,"")&amp;IF(AS14&lt;&gt;0,AS$5,"")&amp;IF(AT14&lt;&gt;0,AT$5,"")&amp;IF(AU14&lt;&gt;0,AU$5,"")</f>
        <v xml:space="preserve">DGD, </v>
      </c>
      <c r="L14" s="413" t="str">
        <f>IF(M14="","",$M$5&amp;":"&amp;M14&amp;";")&amp;IF(N14="","",$N$5&amp;":"&amp;N14&amp;";")&amp;IF(O14="","",$O$5&amp;":"&amp;O14&amp;";")&amp;IF(P14="","",$P$5&amp;":"&amp;P14&amp;";")&amp;IF(Q14="","",$Q$5&amp;":"&amp;Q14&amp;";")&amp;IF(R14="","",$R$5&amp;":"&amp;R14&amp;";")&amp;IF(S14="","",$S$5&amp;":"&amp;S14&amp;";")&amp;IF(T14="","",$T$5&amp;":"&amp;T14&amp;";")&amp;IF(U14="","",$U$5&amp;":"&amp;U14&amp;";")&amp;IF(V14="","",$V$5&amp;":"&amp;V14&amp;";")&amp;IF(W14="","",$W$5&amp;":"&amp;W14&amp;";")&amp;IF(X14="","",$X$5&amp;":"&amp;X14&amp;";")&amp;IF(Y14="","",$Y$5&amp;":"&amp;Y14&amp;";")&amp;IF(Z14="","",$Z$5&amp;":"&amp;Z14&amp;";")&amp;IF(AA14="","",$AA$5&amp;":"&amp;AA14&amp;";")&amp;IF(AB14="","",$AB$5&amp;":"&amp;AB14&amp;";")&amp;IF(AC14="","",$AC$5&amp;":"&amp;AC14&amp;";")&amp;IF(AD14="","",$AD$5&amp;":"&amp;AD14&amp;";")&amp;IF(AE14="","",$AE$5&amp;":"&amp;AE14&amp;";")&amp;IF(AF14="","",$AF$5&amp;":"&amp;AF14&amp;";")&amp;IF(AG14="","",$AG$5&amp;":"&amp;AG14&amp;";")&amp;IF(AH14="","",$AH$5&amp;":"&amp;AH14&amp;";")&amp;IF(AI14="","",$AI$5&amp;":"&amp;AI14&amp;";")&amp;IF(AJ14="","",$AJ$5&amp;":"&amp;AJ14&amp;";")&amp;IF(AK14="","",$AK$5&amp;":"&amp;AK14&amp;";")&amp;IF(AL14="","",$AL$5&amp;":"&amp;AL14&amp;";")&amp;IF(AM14="","",$AM$5&amp;":"&amp;AM14&amp;";")&amp;IF(AN14="","",$AN$5&amp;":"&amp;AN14&amp;";")&amp;IF(AO14="","",$AO$5&amp;":"&amp;AO14&amp;";")&amp;IF(AP14="","",$AP$5&amp;":"&amp;AP14&amp;";")&amp;IF(AQ14="","",$AQ$5&amp;":"&amp;AQ14&amp;";")&amp;IF(AR14="","",$AR$5&amp;":"&amp;AR14&amp;";")&amp;IF(AS14="","",$AS$5&amp;":"&amp;AS14&amp;";")&amp;IF(AT14="","",$AT$5&amp;":"&amp;AT14&amp;";")&amp;IF(AU14="","",$AU$5&amp;":"&amp;AU14&amp;";")</f>
        <v>DGD:0,23;</v>
      </c>
      <c r="M14" s="347"/>
      <c r="N14" s="347"/>
      <c r="O14" s="347"/>
      <c r="P14" s="347"/>
      <c r="Q14" s="347"/>
      <c r="R14" s="347"/>
      <c r="S14" s="347"/>
      <c r="T14" s="347"/>
      <c r="U14" s="347"/>
      <c r="V14" s="347"/>
      <c r="W14" s="347"/>
      <c r="X14" s="347"/>
      <c r="Y14" s="347"/>
      <c r="Z14" s="347"/>
      <c r="AA14" s="347">
        <v>0.23</v>
      </c>
      <c r="AB14" s="347"/>
      <c r="AC14" s="347"/>
      <c r="AD14" s="347"/>
      <c r="AE14" s="347"/>
      <c r="AF14" s="347"/>
      <c r="AG14" s="347"/>
      <c r="AH14" s="347"/>
      <c r="AI14" s="347"/>
      <c r="AJ14" s="347"/>
      <c r="AK14" s="347"/>
      <c r="AL14" s="347"/>
      <c r="AM14" s="347"/>
      <c r="AN14" s="347"/>
      <c r="AO14" s="347"/>
      <c r="AP14" s="347"/>
      <c r="AQ14" s="347"/>
      <c r="AR14" s="347"/>
      <c r="AS14" s="347"/>
      <c r="AT14" s="347"/>
      <c r="AU14" s="347"/>
      <c r="AV14" s="346" t="s">
        <v>266</v>
      </c>
      <c r="AW14" s="346" t="s">
        <v>266</v>
      </c>
      <c r="AX14" s="346" t="s">
        <v>995</v>
      </c>
      <c r="AY14" s="258" t="s">
        <v>995</v>
      </c>
      <c r="AZ14" s="202" t="s">
        <v>996</v>
      </c>
      <c r="BA14" s="346"/>
      <c r="BB14" s="346"/>
      <c r="BC14" s="376" t="s">
        <v>267</v>
      </c>
      <c r="BD14" s="376"/>
      <c r="BE14" s="376"/>
      <c r="BF14" s="376"/>
      <c r="BG14" s="376" t="s">
        <v>263</v>
      </c>
      <c r="BH14" s="346"/>
    </row>
    <row r="15" spans="1:62" ht="42" customHeight="1">
      <c r="A15" s="348">
        <f>SUBTOTAL(3,C$11:$C15)</f>
        <v>3</v>
      </c>
      <c r="B15" s="345" t="s">
        <v>268</v>
      </c>
      <c r="C15" s="357" t="s">
        <v>26</v>
      </c>
      <c r="D15" s="361">
        <v>2.83</v>
      </c>
      <c r="E15" s="413"/>
      <c r="F15" s="361">
        <f>2.83</f>
        <v>2.83</v>
      </c>
      <c r="G15" s="414">
        <f>SUM(M15:AR15)</f>
        <v>2.83</v>
      </c>
      <c r="H15" s="413" t="s">
        <v>11</v>
      </c>
      <c r="I15" s="413" t="s">
        <v>11</v>
      </c>
      <c r="J15" s="413"/>
      <c r="K15" s="413" t="str">
        <f>IF(M15&lt;&gt;0,$M$5&amp;", ","")&amp;IF(N15&lt;&gt;0,$N$5&amp;", ","")&amp;IF(O15&lt;&gt;0,O$5&amp;", ","")&amp;IF(P15&lt;&gt;0,P$5&amp;", ","")&amp;IF(Q15&lt;&gt;0,Q$5&amp;", ","")&amp;IF(R15&lt;&gt;0,R$5&amp;", ","")&amp;IF(S15&lt;&gt;0,S$5&amp;", ","")&amp;IF(T15&lt;&gt;0,T$5&amp;", ","")&amp;IF(U15&lt;&gt;0,U$5&amp;", ","")&amp;IF(V15&lt;&gt;0,V$5&amp;", ","")&amp;IF(W15&lt;&gt;0,W$5&amp;", ","")&amp;IF(X15&lt;&gt;0,X$5&amp;", ","")&amp;IF(Y15&lt;&gt;0,Y$5&amp;", ","")&amp;IF(Z15&lt;&gt;0,Z$5&amp;", ","")&amp;IF(AA15&lt;&gt;0,AA$5&amp;", ","")&amp;IF(AB15&lt;&gt;0,AB$5&amp;", ","")&amp;IF(AC15&lt;&gt;0,AC$5&amp;", ","")&amp;IF(AD15&lt;&gt;0,AD$5&amp;", ","")&amp;IF(AE15&lt;&gt;0,AE$5&amp;", ","")&amp;IF(AF15&lt;&gt;0,AF$5&amp;", ","")&amp;IF(AG15&lt;&gt;0,AG$5&amp;", ","")&amp;IF(AH15&lt;&gt;0,AH$5&amp;", ","")&amp;IF(AI15&lt;&gt;0,AI$5&amp;", ","")&amp;IF(AJ15&lt;&gt;0,AJ$5&amp;", ","")&amp;IF(AK15&lt;&gt;0,AK$5&amp;", ","")&amp;IF(AL15&lt;&gt;0,AL$5&amp;", ","")&amp;IF(AM15&lt;&gt;0,AM$5&amp;", ","")&amp;IF(AN15&lt;&gt;0,AN$5&amp;", ","")&amp;IF(AO15&lt;&gt;0,AO$5&amp;", ","")&amp;IF(AP15&lt;&gt;0,AP$5&amp;", ","")&amp;IF(AQ15&lt;&gt;0,AQ$5&amp;", ","")&amp;IF(AR15&lt;&gt;0,AR$5,"")&amp;IF(AS15&lt;&gt;0,AS$5,"")&amp;IF(AT15&lt;&gt;0,AT$5,"")&amp;IF(AU15&lt;&gt;0,AU$5,"")</f>
        <v xml:space="preserve">HNK, </v>
      </c>
      <c r="L15" s="413" t="str">
        <f>IF(M15="","",$M$5&amp;":"&amp;M15&amp;";")&amp;IF(N15="","",$N$5&amp;":"&amp;N15&amp;";")&amp;IF(O15="","",$O$5&amp;":"&amp;O15&amp;";")&amp;IF(P15="","",$P$5&amp;":"&amp;P15&amp;";")&amp;IF(Q15="","",$Q$5&amp;":"&amp;Q15&amp;";")&amp;IF(R15="","",$R$5&amp;":"&amp;R15&amp;";")&amp;IF(S15="","",$S$5&amp;":"&amp;S15&amp;";")&amp;IF(T15="","",$T$5&amp;":"&amp;T15&amp;";")&amp;IF(U15="","",$U$5&amp;":"&amp;U15&amp;";")&amp;IF(V15="","",$V$5&amp;":"&amp;V15&amp;";")&amp;IF(W15="","",$W$5&amp;":"&amp;W15&amp;";")&amp;IF(X15="","",$X$5&amp;":"&amp;X15&amp;";")&amp;IF(Y15="","",$Y$5&amp;":"&amp;Y15&amp;";")&amp;IF(Z15="","",$Z$5&amp;":"&amp;Z15&amp;";")&amp;IF(AA15="","",$AA$5&amp;":"&amp;AA15&amp;";")&amp;IF(AB15="","",$AB$5&amp;":"&amp;AB15&amp;";")&amp;IF(AC15="","",$AC$5&amp;":"&amp;AC15&amp;";")&amp;IF(AD15="","",$AD$5&amp;":"&amp;AD15&amp;";")&amp;IF(AE15="","",$AE$5&amp;":"&amp;AE15&amp;";")&amp;IF(AF15="","",$AF$5&amp;":"&amp;AF15&amp;";")&amp;IF(AG15="","",$AG$5&amp;":"&amp;AG15&amp;";")&amp;IF(AH15="","",$AH$5&amp;":"&amp;AH15&amp;";")&amp;IF(AI15="","",$AI$5&amp;":"&amp;AI15&amp;";")&amp;IF(AJ15="","",$AJ$5&amp;":"&amp;AJ15&amp;";")&amp;IF(AK15="","",$AK$5&amp;":"&amp;AK15&amp;";")&amp;IF(AL15="","",$AL$5&amp;":"&amp;AL15&amp;";")&amp;IF(AM15="","",$AM$5&amp;":"&amp;AM15&amp;";")&amp;IF(AN15="","",$AN$5&amp;":"&amp;AN15&amp;";")&amp;IF(AO15="","",$AO$5&amp;":"&amp;AO15&amp;";")&amp;IF(AP15="","",$AP$5&amp;":"&amp;AP15&amp;";")&amp;IF(AQ15="","",$AQ$5&amp;":"&amp;AQ15&amp;";")&amp;IF(AR15="","",$AR$5&amp;":"&amp;AR15&amp;";")&amp;IF(AS15="","",$AS$5&amp;":"&amp;AS15&amp;";")&amp;IF(AT15="","",$AT$5&amp;":"&amp;AT15&amp;";")&amp;IF(AU15="","",$AU$5&amp;":"&amp;AU15&amp;";")</f>
        <v>HNK:2,83;</v>
      </c>
      <c r="M15" s="361"/>
      <c r="N15" s="361"/>
      <c r="O15" s="361">
        <v>2.83</v>
      </c>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1"/>
      <c r="AN15" s="361"/>
      <c r="AO15" s="361"/>
      <c r="AP15" s="361"/>
      <c r="AQ15" s="361"/>
      <c r="AR15" s="361"/>
      <c r="AS15" s="361"/>
      <c r="AT15" s="361"/>
      <c r="AU15" s="361"/>
      <c r="AV15" s="338" t="s">
        <v>269</v>
      </c>
      <c r="AW15" s="338" t="s">
        <v>269</v>
      </c>
      <c r="AX15" s="346"/>
      <c r="AY15" s="258"/>
      <c r="AZ15" s="202"/>
      <c r="BA15" s="346"/>
      <c r="BB15" s="346"/>
      <c r="BC15" s="376" t="s">
        <v>270</v>
      </c>
      <c r="BD15" s="376"/>
      <c r="BE15" s="376"/>
      <c r="BF15" s="376"/>
      <c r="BG15" s="376"/>
      <c r="BH15" s="231"/>
    </row>
    <row r="16" spans="1:62" s="179" customFormat="1" ht="24.65" customHeight="1">
      <c r="A16" s="145"/>
      <c r="B16" s="163" t="s">
        <v>1758</v>
      </c>
      <c r="C16" s="164"/>
      <c r="D16" s="368"/>
      <c r="E16" s="368"/>
      <c r="F16" s="368"/>
      <c r="G16" s="410"/>
      <c r="H16" s="411"/>
      <c r="I16" s="411"/>
      <c r="J16" s="411"/>
      <c r="K16" s="411"/>
      <c r="L16" s="411"/>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c r="AO16" s="368"/>
      <c r="AP16" s="368"/>
      <c r="AQ16" s="368"/>
      <c r="AR16" s="368"/>
      <c r="AS16" s="368"/>
      <c r="AT16" s="368"/>
      <c r="AU16" s="368"/>
      <c r="AV16" s="368"/>
      <c r="AW16" s="368"/>
      <c r="AX16" s="368"/>
      <c r="AY16" s="257"/>
      <c r="AZ16" s="178"/>
      <c r="BA16" s="368"/>
      <c r="BB16" s="368"/>
      <c r="BC16" s="165"/>
      <c r="BD16" s="165"/>
      <c r="BE16" s="165"/>
      <c r="BF16" s="165"/>
      <c r="BG16" s="165"/>
      <c r="BH16" s="368"/>
      <c r="BI16" s="412"/>
      <c r="BJ16" s="412"/>
    </row>
    <row r="17" spans="1:62" s="430" customFormat="1" ht="42" customHeight="1">
      <c r="A17" s="416"/>
      <c r="B17" s="417" t="s">
        <v>1861</v>
      </c>
      <c r="C17" s="418" t="s">
        <v>26</v>
      </c>
      <c r="D17" s="419">
        <v>0.12</v>
      </c>
      <c r="E17" s="420"/>
      <c r="F17" s="419">
        <v>0.12</v>
      </c>
      <c r="G17" s="421"/>
      <c r="H17" s="420"/>
      <c r="I17" s="420"/>
      <c r="J17" s="420"/>
      <c r="K17" s="420"/>
      <c r="L17" s="420"/>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19"/>
      <c r="AL17" s="419"/>
      <c r="AM17" s="419"/>
      <c r="AN17" s="419"/>
      <c r="AO17" s="419"/>
      <c r="AP17" s="419"/>
      <c r="AQ17" s="419"/>
      <c r="AR17" s="419"/>
      <c r="AS17" s="419"/>
      <c r="AT17" s="419"/>
      <c r="AU17" s="419"/>
      <c r="AV17" s="422" t="s">
        <v>309</v>
      </c>
      <c r="AW17" s="422" t="str">
        <f>AV17</f>
        <v>Phước Lý</v>
      </c>
      <c r="AX17" s="423"/>
      <c r="AY17" s="424"/>
      <c r="AZ17" s="425"/>
      <c r="BA17" s="426"/>
      <c r="BB17" s="426"/>
      <c r="BC17" s="427"/>
      <c r="BD17" s="427"/>
      <c r="BE17" s="427"/>
      <c r="BF17" s="427"/>
      <c r="BG17" s="427"/>
      <c r="BH17" s="428"/>
      <c r="BI17" s="429" t="s">
        <v>1859</v>
      </c>
      <c r="BJ17" s="429"/>
    </row>
    <row r="18" spans="1:62" s="430" customFormat="1" ht="42" customHeight="1">
      <c r="A18" s="416"/>
      <c r="B18" s="417" t="s">
        <v>1862</v>
      </c>
      <c r="C18" s="418" t="s">
        <v>26</v>
      </c>
      <c r="D18" s="419">
        <v>0.15</v>
      </c>
      <c r="E18" s="420"/>
      <c r="F18" s="419"/>
      <c r="G18" s="421"/>
      <c r="H18" s="420"/>
      <c r="I18" s="420"/>
      <c r="J18" s="420"/>
      <c r="K18" s="420"/>
      <c r="L18" s="420"/>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c r="AL18" s="419"/>
      <c r="AM18" s="419"/>
      <c r="AN18" s="419"/>
      <c r="AO18" s="419"/>
      <c r="AP18" s="419"/>
      <c r="AQ18" s="419"/>
      <c r="AR18" s="419"/>
      <c r="AS18" s="419"/>
      <c r="AT18" s="419"/>
      <c r="AU18" s="419"/>
      <c r="AV18" s="422" t="s">
        <v>283</v>
      </c>
      <c r="AW18" s="422"/>
      <c r="AX18" s="422" t="s">
        <v>1863</v>
      </c>
      <c r="AY18" s="424"/>
      <c r="AZ18" s="425"/>
      <c r="BA18" s="426"/>
      <c r="BB18" s="426"/>
      <c r="BC18" s="427"/>
      <c r="BD18" s="427"/>
      <c r="BE18" s="427"/>
      <c r="BF18" s="427"/>
      <c r="BG18" s="427"/>
      <c r="BH18" s="428"/>
      <c r="BI18" s="429" t="s">
        <v>1859</v>
      </c>
      <c r="BJ18" s="429"/>
    </row>
    <row r="19" spans="1:62" s="430" customFormat="1" ht="42" customHeight="1">
      <c r="A19" s="416"/>
      <c r="B19" s="431" t="s">
        <v>268</v>
      </c>
      <c r="C19" s="418" t="s">
        <v>26</v>
      </c>
      <c r="D19" s="419">
        <v>0.1</v>
      </c>
      <c r="E19" s="420"/>
      <c r="F19" s="419"/>
      <c r="G19" s="421"/>
      <c r="H19" s="420"/>
      <c r="I19" s="420"/>
      <c r="J19" s="420"/>
      <c r="K19" s="420"/>
      <c r="L19" s="420"/>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19"/>
      <c r="AM19" s="419"/>
      <c r="AN19" s="419"/>
      <c r="AO19" s="419"/>
      <c r="AP19" s="419"/>
      <c r="AQ19" s="419"/>
      <c r="AR19" s="419"/>
      <c r="AS19" s="419"/>
      <c r="AT19" s="419"/>
      <c r="AU19" s="419"/>
      <c r="AV19" s="422" t="s">
        <v>318</v>
      </c>
      <c r="AW19" s="422"/>
      <c r="AX19" s="422"/>
      <c r="AY19" s="424"/>
      <c r="AZ19" s="425"/>
      <c r="BA19" s="426"/>
      <c r="BB19" s="426"/>
      <c r="BC19" s="427"/>
      <c r="BD19" s="427"/>
      <c r="BE19" s="427"/>
      <c r="BF19" s="427"/>
      <c r="BG19" s="427"/>
      <c r="BH19" s="428"/>
      <c r="BI19" s="429" t="s">
        <v>1859</v>
      </c>
      <c r="BJ19" s="429"/>
    </row>
    <row r="20" spans="1:62" ht="25" customHeight="1">
      <c r="A20" s="151" t="s">
        <v>58</v>
      </c>
      <c r="B20" s="232" t="s">
        <v>65</v>
      </c>
      <c r="C20" s="233"/>
      <c r="D20" s="229"/>
      <c r="E20" s="229"/>
      <c r="F20" s="229"/>
      <c r="G20" s="414"/>
      <c r="H20" s="413"/>
      <c r="I20" s="413"/>
      <c r="J20" s="413"/>
      <c r="K20" s="413" t="str">
        <f>IF(M20&lt;&gt;0,$M$5&amp;", ","")&amp;IF(N20&lt;&gt;0,$N$5&amp;", ","")&amp;IF(O20&lt;&gt;0,O$5&amp;", ","")&amp;IF(P20&lt;&gt;0,P$5&amp;", ","")&amp;IF(Q20&lt;&gt;0,Q$5&amp;", ","")&amp;IF(R20&lt;&gt;0,R$5&amp;", ","")&amp;IF(S20&lt;&gt;0,S$5&amp;", ","")&amp;IF(T20&lt;&gt;0,T$5&amp;", ","")&amp;IF(U20&lt;&gt;0,U$5&amp;", ","")&amp;IF(V20&lt;&gt;0,V$5&amp;", ","")&amp;IF(W20&lt;&gt;0,W$5&amp;", ","")&amp;IF(X20&lt;&gt;0,X$5&amp;", ","")&amp;IF(Y20&lt;&gt;0,Y$5&amp;", ","")&amp;IF(Z20&lt;&gt;0,Z$5&amp;", ","")&amp;IF(AA20&lt;&gt;0,AA$5&amp;", ","")&amp;IF(AB20&lt;&gt;0,AB$5&amp;", ","")&amp;IF(AC20&lt;&gt;0,AC$5&amp;", ","")&amp;IF(AD20&lt;&gt;0,AD$5&amp;", ","")&amp;IF(AE20&lt;&gt;0,AE$5&amp;", ","")&amp;IF(AF20&lt;&gt;0,AF$5&amp;", ","")&amp;IF(AG20&lt;&gt;0,AG$5&amp;", ","")&amp;IF(AH20&lt;&gt;0,AH$5&amp;", ","")&amp;IF(AI20&lt;&gt;0,AI$5&amp;", ","")&amp;IF(AJ20&lt;&gt;0,AJ$5&amp;", ","")&amp;IF(AK20&lt;&gt;0,AK$5&amp;", ","")&amp;IF(AL20&lt;&gt;0,AL$5&amp;", ","")&amp;IF(AM20&lt;&gt;0,AM$5&amp;", ","")&amp;IF(AN20&lt;&gt;0,AN$5&amp;", ","")&amp;IF(AO20&lt;&gt;0,AO$5&amp;", ","")&amp;IF(AP20&lt;&gt;0,AP$5&amp;", ","")&amp;IF(AQ20&lt;&gt;0,AQ$5&amp;", ","")&amp;IF(AR20&lt;&gt;0,AR$5,"")&amp;IF(AS20&lt;&gt;0,AS$5,"")&amp;IF(AT20&lt;&gt;0,AT$5,"")&amp;IF(AU20&lt;&gt;0,AU$5,"")</f>
        <v/>
      </c>
      <c r="L20" s="413" t="str">
        <f>IF(M20="","",$M$5&amp;":"&amp;M20&amp;";")&amp;IF(N20="","",$N$5&amp;":"&amp;N20&amp;";")&amp;IF(O20="","",$O$5&amp;":"&amp;O20&amp;";")&amp;IF(P20="","",$P$5&amp;":"&amp;P20&amp;";")&amp;IF(Q20="","",$Q$5&amp;":"&amp;Q20&amp;";")&amp;IF(R20="","",$R$5&amp;":"&amp;R20&amp;";")&amp;IF(S20="","",$S$5&amp;":"&amp;S20&amp;";")&amp;IF(T20="","",$T$5&amp;":"&amp;T20&amp;";")&amp;IF(U20="","",$U$5&amp;":"&amp;U20&amp;";")&amp;IF(V20="","",$V$5&amp;":"&amp;V20&amp;";")&amp;IF(W20="","",$W$5&amp;":"&amp;W20&amp;";")&amp;IF(X20="","",$X$5&amp;":"&amp;X20&amp;";")&amp;IF(Y20="","",$Y$5&amp;":"&amp;Y20&amp;";")&amp;IF(Z20="","",$Z$5&amp;":"&amp;Z20&amp;";")&amp;IF(AA20="","",$AA$5&amp;":"&amp;AA20&amp;";")&amp;IF(AB20="","",$AB$5&amp;":"&amp;AB20&amp;";")&amp;IF(AC20="","",$AC$5&amp;":"&amp;AC20&amp;";")&amp;IF(AD20="","",$AD$5&amp;":"&amp;AD20&amp;";")&amp;IF(AE20="","",$AE$5&amp;":"&amp;AE20&amp;";")&amp;IF(AF20="","",$AF$5&amp;":"&amp;AF20&amp;";")&amp;IF(AG20="","",$AG$5&amp;":"&amp;AG20&amp;";")&amp;IF(AH20="","",$AH$5&amp;":"&amp;AH20&amp;";")&amp;IF(AI20="","",$AI$5&amp;":"&amp;AI20&amp;";")&amp;IF(AJ20="","",$AJ$5&amp;":"&amp;AJ20&amp;";")&amp;IF(AK20="","",$AK$5&amp;":"&amp;AK20&amp;";")&amp;IF(AL20="","",$AL$5&amp;":"&amp;AL20&amp;";")&amp;IF(AM20="","",$AM$5&amp;":"&amp;AM20&amp;";")&amp;IF(AN20="","",$AN$5&amp;":"&amp;AN20&amp;";")&amp;IF(AO20="","",$AO$5&amp;":"&amp;AO20&amp;";")&amp;IF(AP20="","",$AP$5&amp;":"&amp;AP20&amp;";")&amp;IF(AQ20="","",$AQ$5&amp;":"&amp;AQ20&amp;";")&amp;IF(AR20="","",$AR$5&amp;":"&amp;AR20&amp;";")&amp;IF(AS20="","",$AS$5&amp;":"&amp;AS20&amp;";")&amp;IF(AT20="","",$AT$5&amp;":"&amp;AT20&amp;";")&amp;IF(AU20="","",$AU$5&amp;":"&amp;AU20&amp;";")</f>
        <v/>
      </c>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30"/>
      <c r="AW20" s="230"/>
      <c r="AY20" s="256"/>
      <c r="AZ20" s="371"/>
      <c r="BA20" s="230"/>
      <c r="BB20" s="230"/>
      <c r="BC20" s="371"/>
      <c r="BD20" s="371"/>
      <c r="BE20" s="371"/>
      <c r="BF20" s="371"/>
      <c r="BG20" s="371"/>
      <c r="BH20" s="230"/>
    </row>
    <row r="21" spans="1:62" s="179" customFormat="1" ht="24.65" customHeight="1">
      <c r="A21" s="145"/>
      <c r="B21" s="163" t="s">
        <v>1757</v>
      </c>
      <c r="C21" s="164"/>
      <c r="D21" s="368"/>
      <c r="E21" s="368"/>
      <c r="F21" s="368"/>
      <c r="G21" s="410"/>
      <c r="H21" s="411"/>
      <c r="I21" s="411"/>
      <c r="J21" s="411"/>
      <c r="K21" s="411"/>
      <c r="L21" s="411"/>
      <c r="M21" s="368"/>
      <c r="N21" s="368"/>
      <c r="O21" s="368"/>
      <c r="P21" s="368"/>
      <c r="Q21" s="368"/>
      <c r="R21" s="368"/>
      <c r="S21" s="368"/>
      <c r="T21" s="368"/>
      <c r="U21" s="368"/>
      <c r="V21" s="368"/>
      <c r="W21" s="368"/>
      <c r="X21" s="368"/>
      <c r="Y21" s="368"/>
      <c r="Z21" s="368"/>
      <c r="AA21" s="368"/>
      <c r="AB21" s="368"/>
      <c r="AC21" s="368"/>
      <c r="AD21" s="368"/>
      <c r="AE21" s="368"/>
      <c r="AF21" s="368"/>
      <c r="AG21" s="368"/>
      <c r="AH21" s="368"/>
      <c r="AI21" s="368"/>
      <c r="AJ21" s="368"/>
      <c r="AK21" s="368"/>
      <c r="AL21" s="368"/>
      <c r="AM21" s="368"/>
      <c r="AN21" s="368"/>
      <c r="AO21" s="368"/>
      <c r="AP21" s="368"/>
      <c r="AQ21" s="368"/>
      <c r="AR21" s="368"/>
      <c r="AS21" s="368"/>
      <c r="AT21" s="368"/>
      <c r="AU21" s="368"/>
      <c r="AV21" s="368"/>
      <c r="AW21" s="368"/>
      <c r="AX21" s="368"/>
      <c r="AY21" s="257"/>
      <c r="AZ21" s="178"/>
      <c r="BA21" s="368"/>
      <c r="BB21" s="368"/>
      <c r="BC21" s="165"/>
      <c r="BD21" s="165"/>
      <c r="BE21" s="165"/>
      <c r="BF21" s="165"/>
      <c r="BG21" s="165"/>
      <c r="BH21" s="368"/>
      <c r="BI21" s="412"/>
      <c r="BJ21" s="412"/>
    </row>
    <row r="22" spans="1:62" ht="152">
      <c r="A22" s="344">
        <f>SUBTOTAL(3,C$11:$C22)</f>
        <v>7</v>
      </c>
      <c r="B22" s="362" t="s">
        <v>302</v>
      </c>
      <c r="C22" s="351" t="s">
        <v>28</v>
      </c>
      <c r="D22" s="357">
        <v>3.3</v>
      </c>
      <c r="E22" s="357">
        <v>1.3</v>
      </c>
      <c r="F22" s="357">
        <v>1.9999999999999998</v>
      </c>
      <c r="G22" s="414">
        <f t="shared" ref="G22:G34" si="0">SUM(M22:AR22)</f>
        <v>2</v>
      </c>
      <c r="H22" s="413" t="s">
        <v>5</v>
      </c>
      <c r="I22" s="413" t="s">
        <v>7</v>
      </c>
      <c r="J22" s="413"/>
      <c r="K22" s="413" t="str">
        <f t="shared" ref="K22:K34" si="1">IF(M22&lt;&gt;0,$M$5&amp;", ","")&amp;IF(N22&lt;&gt;0,$N$5&amp;", ","")&amp;IF(O22&lt;&gt;0,O$5&amp;", ","")&amp;IF(P22&lt;&gt;0,P$5&amp;", ","")&amp;IF(Q22&lt;&gt;0,Q$5&amp;", ","")&amp;IF(R22&lt;&gt;0,R$5&amp;", ","")&amp;IF(S22&lt;&gt;0,S$5&amp;", ","")&amp;IF(T22&lt;&gt;0,T$5&amp;", ","")&amp;IF(U22&lt;&gt;0,U$5&amp;", ","")&amp;IF(V22&lt;&gt;0,V$5&amp;", ","")&amp;IF(W22&lt;&gt;0,W$5&amp;", ","")&amp;IF(X22&lt;&gt;0,X$5&amp;", ","")&amp;IF(Y22&lt;&gt;0,Y$5&amp;", ","")&amp;IF(Z22&lt;&gt;0,Z$5&amp;", ","")&amp;IF(AA22&lt;&gt;0,AA$5&amp;", ","")&amp;IF(AB22&lt;&gt;0,AB$5&amp;", ","")&amp;IF(AC22&lt;&gt;0,AC$5&amp;", ","")&amp;IF(AD22&lt;&gt;0,AD$5&amp;", ","")&amp;IF(AE22&lt;&gt;0,AE$5&amp;", ","")&amp;IF(AF22&lt;&gt;0,AF$5&amp;", ","")&amp;IF(AG22&lt;&gt;0,AG$5&amp;", ","")&amp;IF(AH22&lt;&gt;0,AH$5&amp;", ","")&amp;IF(AI22&lt;&gt;0,AI$5&amp;", ","")&amp;IF(AJ22&lt;&gt;0,AJ$5&amp;", ","")&amp;IF(AK22&lt;&gt;0,AK$5&amp;", ","")&amp;IF(AL22&lt;&gt;0,AL$5&amp;", ","")&amp;IF(AM22&lt;&gt;0,AM$5&amp;", ","")&amp;IF(AN22&lt;&gt;0,AN$5&amp;", ","")&amp;IF(AO22&lt;&gt;0,AO$5&amp;", ","")&amp;IF(AP22&lt;&gt;0,AP$5&amp;", ","")&amp;IF(AQ22&lt;&gt;0,AQ$5&amp;", ","")&amp;IF(AR22&lt;&gt;0,AR$5,"")&amp;IF(AS22&lt;&gt;0,AS$5,"")&amp;IF(AT22&lt;&gt;0,AT$5,"")&amp;IF(AU22&lt;&gt;0,AU$5,"")</f>
        <v xml:space="preserve">LUC, </v>
      </c>
      <c r="L22" s="413" t="str">
        <f t="shared" ref="L22:L34" si="2">IF(M22="","",$M$5&amp;":"&amp;M22&amp;";")&amp;IF(N22="","",$N$5&amp;":"&amp;N22&amp;";")&amp;IF(O22="","",$O$5&amp;":"&amp;O22&amp;";")&amp;IF(P22="","",$P$5&amp;":"&amp;P22&amp;";")&amp;IF(Q22="","",$Q$5&amp;":"&amp;Q22&amp;";")&amp;IF(R22="","",$R$5&amp;":"&amp;R22&amp;";")&amp;IF(S22="","",$S$5&amp;":"&amp;S22&amp;";")&amp;IF(T22="","",$T$5&amp;":"&amp;T22&amp;";")&amp;IF(U22="","",$U$5&amp;":"&amp;U22&amp;";")&amp;IF(V22="","",$V$5&amp;":"&amp;V22&amp;";")&amp;IF(W22="","",$W$5&amp;":"&amp;W22&amp;";")&amp;IF(X22="","",$X$5&amp;":"&amp;X22&amp;";")&amp;IF(Y22="","",$Y$5&amp;":"&amp;Y22&amp;";")&amp;IF(Z22="","",$Z$5&amp;":"&amp;Z22&amp;";")&amp;IF(AA22="","",$AA$5&amp;":"&amp;AA22&amp;";")&amp;IF(AB22="","",$AB$5&amp;":"&amp;AB22&amp;";")&amp;IF(AC22="","",$AC$5&amp;":"&amp;AC22&amp;";")&amp;IF(AD22="","",$AD$5&amp;":"&amp;AD22&amp;";")&amp;IF(AE22="","",$AE$5&amp;":"&amp;AE22&amp;";")&amp;IF(AF22="","",$AF$5&amp;":"&amp;AF22&amp;";")&amp;IF(AG22="","",$AG$5&amp;":"&amp;AG22&amp;";")&amp;IF(AH22="","",$AH$5&amp;":"&amp;AH22&amp;";")&amp;IF(AI22="","",$AI$5&amp;":"&amp;AI22&amp;";")&amp;IF(AJ22="","",$AJ$5&amp;":"&amp;AJ22&amp;";")&amp;IF(AK22="","",$AK$5&amp;":"&amp;AK22&amp;";")&amp;IF(AL22="","",$AL$5&amp;":"&amp;AL22&amp;";")&amp;IF(AM22="","",$AM$5&amp;":"&amp;AM22&amp;";")&amp;IF(AN22="","",$AN$5&amp;":"&amp;AN22&amp;";")&amp;IF(AO22="","",$AO$5&amp;":"&amp;AO22&amp;";")&amp;IF(AP22="","",$AP$5&amp;":"&amp;AP22&amp;";")&amp;IF(AQ22="","",$AQ$5&amp;":"&amp;AQ22&amp;";")&amp;IF(AR22="","",$AR$5&amp;":"&amp;AR22&amp;";")&amp;IF(AS22="","",$AS$5&amp;":"&amp;AS22&amp;";")&amp;IF(AT22="","",$AT$5&amp;":"&amp;AT22&amp;";")&amp;IF(AU22="","",$AU$5&amp;":"&amp;AU22&amp;";")</f>
        <v>LUC:2;</v>
      </c>
      <c r="M22" s="357">
        <v>2</v>
      </c>
      <c r="N22" s="357"/>
      <c r="O22" s="357"/>
      <c r="P22" s="357"/>
      <c r="Q22" s="357"/>
      <c r="R22" s="357"/>
      <c r="S22" s="357"/>
      <c r="T22" s="357"/>
      <c r="U22" s="357"/>
      <c r="V22" s="357"/>
      <c r="W22" s="357"/>
      <c r="X22" s="357"/>
      <c r="Y22" s="357"/>
      <c r="Z22" s="357"/>
      <c r="AA22" s="357"/>
      <c r="AB22" s="357"/>
      <c r="AC22" s="357"/>
      <c r="AD22" s="357"/>
      <c r="AE22" s="357"/>
      <c r="AF22" s="357"/>
      <c r="AG22" s="357"/>
      <c r="AH22" s="357"/>
      <c r="AI22" s="357"/>
      <c r="AJ22" s="357"/>
      <c r="AK22" s="357"/>
      <c r="AL22" s="357"/>
      <c r="AM22" s="357"/>
      <c r="AN22" s="357"/>
      <c r="AO22" s="357"/>
      <c r="AP22" s="357"/>
      <c r="AQ22" s="357"/>
      <c r="AR22" s="357"/>
      <c r="AS22" s="357"/>
      <c r="AT22" s="357"/>
      <c r="AU22" s="357"/>
      <c r="AV22" s="346" t="s">
        <v>303</v>
      </c>
      <c r="AW22" s="346" t="s">
        <v>303</v>
      </c>
      <c r="AX22" s="432" t="s">
        <v>304</v>
      </c>
      <c r="AY22" s="433" t="s">
        <v>304</v>
      </c>
      <c r="AZ22" s="434" t="s">
        <v>999</v>
      </c>
      <c r="BA22" s="432"/>
      <c r="BB22" s="432"/>
      <c r="BC22" s="371" t="s">
        <v>262</v>
      </c>
      <c r="BD22" s="371"/>
      <c r="BE22" s="371"/>
      <c r="BF22" s="371" t="s">
        <v>263</v>
      </c>
      <c r="BG22" s="371"/>
      <c r="BH22" s="432"/>
    </row>
    <row r="23" spans="1:62" ht="42" customHeight="1">
      <c r="A23" s="344">
        <f>SUBTOTAL(3,C$11:$C23)</f>
        <v>8</v>
      </c>
      <c r="B23" s="337" t="s">
        <v>273</v>
      </c>
      <c r="C23" s="338" t="s">
        <v>28</v>
      </c>
      <c r="D23" s="361">
        <v>0.11</v>
      </c>
      <c r="E23" s="366"/>
      <c r="F23" s="361">
        <v>0.11</v>
      </c>
      <c r="G23" s="414">
        <f t="shared" si="0"/>
        <v>0.10999799999999998</v>
      </c>
      <c r="H23" s="413" t="s">
        <v>1000</v>
      </c>
      <c r="I23" s="413" t="s">
        <v>1001</v>
      </c>
      <c r="J23" s="413"/>
      <c r="K23" s="413" t="str">
        <f t="shared" si="1"/>
        <v xml:space="preserve">LUC, DSH, ONT, </v>
      </c>
      <c r="L23" s="413" t="str">
        <f t="shared" si="2"/>
        <v>LUC:0,023571;DSH:0,070713;ONT:0,015714;</v>
      </c>
      <c r="M23" s="361">
        <f>0.03*78.57%</f>
        <v>2.3570999999999998E-2</v>
      </c>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f>0.09*78.57%</f>
        <v>7.0712999999999998E-2</v>
      </c>
      <c r="AK23" s="361"/>
      <c r="AL23" s="361">
        <f>0.02*78.57%</f>
        <v>1.5713999999999999E-2</v>
      </c>
      <c r="AM23" s="361"/>
      <c r="AN23" s="361"/>
      <c r="AO23" s="361"/>
      <c r="AP23" s="361"/>
      <c r="AQ23" s="361"/>
      <c r="AR23" s="361"/>
      <c r="AS23" s="361"/>
      <c r="AT23" s="361"/>
      <c r="AU23" s="361"/>
      <c r="AV23" s="338" t="s">
        <v>258</v>
      </c>
      <c r="AW23" s="338" t="s">
        <v>258</v>
      </c>
      <c r="AX23" s="432" t="s">
        <v>274</v>
      </c>
      <c r="AY23" s="433" t="s">
        <v>274</v>
      </c>
      <c r="AZ23" s="434" t="s">
        <v>1002</v>
      </c>
      <c r="BA23" s="432" t="s">
        <v>275</v>
      </c>
      <c r="BB23" s="432"/>
      <c r="BC23" s="371" t="s">
        <v>270</v>
      </c>
      <c r="BD23" s="371"/>
      <c r="BE23" s="371"/>
      <c r="BF23" s="371" t="s">
        <v>263</v>
      </c>
      <c r="BG23" s="371"/>
      <c r="BH23" s="432"/>
    </row>
    <row r="24" spans="1:62" ht="42" customHeight="1">
      <c r="A24" s="344">
        <f>SUBTOTAL(3,C$11:$C24)</f>
        <v>9</v>
      </c>
      <c r="B24" s="337" t="s">
        <v>282</v>
      </c>
      <c r="C24" s="338" t="s">
        <v>28</v>
      </c>
      <c r="D24" s="361">
        <v>0.1</v>
      </c>
      <c r="E24" s="366"/>
      <c r="F24" s="361">
        <v>0.1</v>
      </c>
      <c r="G24" s="414">
        <f t="shared" si="0"/>
        <v>0.1</v>
      </c>
      <c r="H24" s="413" t="s">
        <v>11</v>
      </c>
      <c r="I24" s="413" t="s">
        <v>11</v>
      </c>
      <c r="J24" s="413"/>
      <c r="K24" s="413" t="str">
        <f t="shared" si="1"/>
        <v xml:space="preserve">HNK, </v>
      </c>
      <c r="L24" s="413" t="str">
        <f t="shared" si="2"/>
        <v>HNK:0,1;</v>
      </c>
      <c r="M24" s="361"/>
      <c r="N24" s="361"/>
      <c r="O24" s="361">
        <v>0.1</v>
      </c>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1"/>
      <c r="AP24" s="361"/>
      <c r="AQ24" s="361"/>
      <c r="AR24" s="361"/>
      <c r="AS24" s="361"/>
      <c r="AT24" s="361"/>
      <c r="AU24" s="361"/>
      <c r="AV24" s="338" t="s">
        <v>283</v>
      </c>
      <c r="AW24" s="338" t="s">
        <v>283</v>
      </c>
      <c r="AX24" s="338" t="s">
        <v>284</v>
      </c>
      <c r="AY24" s="259" t="s">
        <v>284</v>
      </c>
      <c r="AZ24" s="234" t="s">
        <v>1005</v>
      </c>
      <c r="BA24" s="338"/>
      <c r="BB24" s="338"/>
      <c r="BC24" s="371" t="s">
        <v>270</v>
      </c>
      <c r="BD24" s="371"/>
      <c r="BE24" s="371"/>
      <c r="BF24" s="371" t="s">
        <v>263</v>
      </c>
      <c r="BG24" s="371"/>
      <c r="BH24" s="338"/>
    </row>
    <row r="25" spans="1:62" ht="46.5" customHeight="1">
      <c r="A25" s="344">
        <f>SUBTOTAL(3,C$11:$C25)</f>
        <v>10</v>
      </c>
      <c r="B25" s="337" t="s">
        <v>285</v>
      </c>
      <c r="C25" s="338" t="s">
        <v>28</v>
      </c>
      <c r="D25" s="361">
        <v>0.11</v>
      </c>
      <c r="E25" s="366"/>
      <c r="F25" s="361">
        <v>0.11</v>
      </c>
      <c r="G25" s="414">
        <f t="shared" si="0"/>
        <v>0.11</v>
      </c>
      <c r="H25" s="413" t="s">
        <v>13</v>
      </c>
      <c r="I25" s="413" t="s">
        <v>13</v>
      </c>
      <c r="J25" s="413"/>
      <c r="K25" s="413" t="str">
        <f t="shared" si="1"/>
        <v xml:space="preserve">CLN, </v>
      </c>
      <c r="L25" s="413" t="str">
        <f t="shared" si="2"/>
        <v>CLN:0,11;</v>
      </c>
      <c r="M25" s="361"/>
      <c r="N25" s="361"/>
      <c r="O25" s="361"/>
      <c r="P25" s="361">
        <v>0.11</v>
      </c>
      <c r="Q25" s="361"/>
      <c r="R25" s="361"/>
      <c r="S25" s="361"/>
      <c r="T25" s="361"/>
      <c r="U25" s="361"/>
      <c r="V25" s="361"/>
      <c r="W25" s="361"/>
      <c r="X25" s="361"/>
      <c r="Y25" s="361"/>
      <c r="Z25" s="361"/>
      <c r="AA25" s="361"/>
      <c r="AB25" s="361"/>
      <c r="AC25" s="361"/>
      <c r="AD25" s="361"/>
      <c r="AE25" s="361"/>
      <c r="AF25" s="361"/>
      <c r="AG25" s="361"/>
      <c r="AH25" s="361"/>
      <c r="AI25" s="361"/>
      <c r="AJ25" s="361"/>
      <c r="AK25" s="361"/>
      <c r="AL25" s="361"/>
      <c r="AM25" s="361"/>
      <c r="AN25" s="361"/>
      <c r="AO25" s="361"/>
      <c r="AP25" s="361"/>
      <c r="AQ25" s="361"/>
      <c r="AR25" s="361"/>
      <c r="AS25" s="361"/>
      <c r="AT25" s="361"/>
      <c r="AU25" s="361"/>
      <c r="AV25" s="338" t="s">
        <v>286</v>
      </c>
      <c r="AW25" s="338" t="s">
        <v>286</v>
      </c>
      <c r="AX25" s="432" t="s">
        <v>287</v>
      </c>
      <c r="AY25" s="433" t="s">
        <v>287</v>
      </c>
      <c r="AZ25" s="434" t="s">
        <v>1006</v>
      </c>
      <c r="BA25" s="432"/>
      <c r="BB25" s="432"/>
      <c r="BC25" s="371" t="s">
        <v>270</v>
      </c>
      <c r="BD25" s="371"/>
      <c r="BE25" s="371"/>
      <c r="BF25" s="371" t="s">
        <v>263</v>
      </c>
      <c r="BG25" s="371"/>
      <c r="BH25" s="432"/>
    </row>
    <row r="26" spans="1:62" ht="46.5" customHeight="1">
      <c r="A26" s="344">
        <f>SUBTOTAL(3,C$11:$C26)</f>
        <v>11</v>
      </c>
      <c r="B26" s="337" t="s">
        <v>288</v>
      </c>
      <c r="C26" s="338" t="s">
        <v>28</v>
      </c>
      <c r="D26" s="361">
        <v>0.1</v>
      </c>
      <c r="E26" s="366"/>
      <c r="F26" s="361">
        <v>0.1</v>
      </c>
      <c r="G26" s="414">
        <f t="shared" si="0"/>
        <v>0.1</v>
      </c>
      <c r="H26" s="413" t="s">
        <v>5</v>
      </c>
      <c r="I26" s="413" t="s">
        <v>7</v>
      </c>
      <c r="J26" s="413"/>
      <c r="K26" s="413" t="str">
        <f t="shared" si="1"/>
        <v xml:space="preserve">LUC, </v>
      </c>
      <c r="L26" s="413" t="str">
        <f t="shared" si="2"/>
        <v>LUC:0,1;</v>
      </c>
      <c r="M26" s="361">
        <v>0.1</v>
      </c>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1"/>
      <c r="AM26" s="361"/>
      <c r="AN26" s="361"/>
      <c r="AO26" s="361"/>
      <c r="AP26" s="361"/>
      <c r="AQ26" s="361"/>
      <c r="AR26" s="361"/>
      <c r="AS26" s="361"/>
      <c r="AT26" s="361"/>
      <c r="AU26" s="361"/>
      <c r="AV26" s="338" t="s">
        <v>289</v>
      </c>
      <c r="AW26" s="338" t="s">
        <v>289</v>
      </c>
      <c r="AX26" s="435" t="s">
        <v>290</v>
      </c>
      <c r="AY26" s="436" t="s">
        <v>290</v>
      </c>
      <c r="AZ26" s="437" t="s">
        <v>1007</v>
      </c>
      <c r="BA26" s="435"/>
      <c r="BB26" s="435"/>
      <c r="BC26" s="371" t="s">
        <v>270</v>
      </c>
      <c r="BD26" s="371"/>
      <c r="BE26" s="371"/>
      <c r="BF26" s="371" t="s">
        <v>263</v>
      </c>
      <c r="BG26" s="371"/>
      <c r="BH26" s="435"/>
    </row>
    <row r="27" spans="1:62" ht="46.5" customHeight="1">
      <c r="A27" s="344">
        <f>SUBTOTAL(3,C$11:$C27)</f>
        <v>12</v>
      </c>
      <c r="B27" s="337" t="s">
        <v>291</v>
      </c>
      <c r="C27" s="338" t="s">
        <v>28</v>
      </c>
      <c r="D27" s="361">
        <v>0.1</v>
      </c>
      <c r="E27" s="366"/>
      <c r="F27" s="361">
        <v>0.1</v>
      </c>
      <c r="G27" s="414">
        <f t="shared" si="0"/>
        <v>0.1</v>
      </c>
      <c r="H27" s="413" t="s">
        <v>13</v>
      </c>
      <c r="I27" s="413" t="s">
        <v>13</v>
      </c>
      <c r="J27" s="413"/>
      <c r="K27" s="413" t="str">
        <f t="shared" si="1"/>
        <v xml:space="preserve">CLN, </v>
      </c>
      <c r="L27" s="413" t="str">
        <f t="shared" si="2"/>
        <v>CLN:0,1;</v>
      </c>
      <c r="M27" s="361"/>
      <c r="N27" s="361"/>
      <c r="O27" s="361"/>
      <c r="P27" s="361">
        <v>0.1</v>
      </c>
      <c r="Q27" s="361"/>
      <c r="R27" s="361"/>
      <c r="S27" s="361"/>
      <c r="T27" s="361"/>
      <c r="U27" s="361"/>
      <c r="V27" s="361"/>
      <c r="W27" s="361"/>
      <c r="X27" s="361"/>
      <c r="Y27" s="361"/>
      <c r="Z27" s="361"/>
      <c r="AA27" s="361"/>
      <c r="AB27" s="361"/>
      <c r="AC27" s="361"/>
      <c r="AD27" s="361"/>
      <c r="AE27" s="361"/>
      <c r="AF27" s="361"/>
      <c r="AG27" s="361"/>
      <c r="AH27" s="361"/>
      <c r="AI27" s="361"/>
      <c r="AJ27" s="361"/>
      <c r="AK27" s="361"/>
      <c r="AL27" s="361"/>
      <c r="AM27" s="361"/>
      <c r="AN27" s="361"/>
      <c r="AO27" s="361"/>
      <c r="AP27" s="361"/>
      <c r="AQ27" s="361"/>
      <c r="AR27" s="361"/>
      <c r="AS27" s="361"/>
      <c r="AT27" s="361"/>
      <c r="AU27" s="361"/>
      <c r="AV27" s="338" t="s">
        <v>292</v>
      </c>
      <c r="AW27" s="338" t="s">
        <v>292</v>
      </c>
      <c r="AX27" s="432" t="s">
        <v>293</v>
      </c>
      <c r="AY27" s="433" t="s">
        <v>293</v>
      </c>
      <c r="AZ27" s="434" t="s">
        <v>1008</v>
      </c>
      <c r="BA27" s="432"/>
      <c r="BB27" s="432"/>
      <c r="BC27" s="371" t="s">
        <v>270</v>
      </c>
      <c r="BD27" s="371"/>
      <c r="BE27" s="371"/>
      <c r="BF27" s="371" t="s">
        <v>263</v>
      </c>
      <c r="BG27" s="371"/>
      <c r="BH27" s="432"/>
    </row>
    <row r="28" spans="1:62" ht="42" customHeight="1">
      <c r="A28" s="344">
        <f>SUBTOTAL(3,C$11:$C28)</f>
        <v>13</v>
      </c>
      <c r="B28" s="337" t="s">
        <v>294</v>
      </c>
      <c r="C28" s="338" t="s">
        <v>28</v>
      </c>
      <c r="D28" s="361">
        <v>0.15</v>
      </c>
      <c r="E28" s="366"/>
      <c r="F28" s="361">
        <v>0.15</v>
      </c>
      <c r="G28" s="414">
        <f t="shared" si="0"/>
        <v>0.14800000000000002</v>
      </c>
      <c r="H28" s="413" t="s">
        <v>1009</v>
      </c>
      <c r="I28" s="413" t="s">
        <v>1009</v>
      </c>
      <c r="J28" s="413"/>
      <c r="K28" s="413" t="str">
        <f t="shared" si="1"/>
        <v xml:space="preserve">NTS, DYT, </v>
      </c>
      <c r="L28" s="413" t="str">
        <f t="shared" si="2"/>
        <v>NTS:0,07;DYT:0,078;</v>
      </c>
      <c r="M28" s="361"/>
      <c r="N28" s="361"/>
      <c r="O28" s="361"/>
      <c r="P28" s="361"/>
      <c r="Q28" s="361">
        <v>7.0000000000000007E-2</v>
      </c>
      <c r="R28" s="361"/>
      <c r="S28" s="361"/>
      <c r="T28" s="361"/>
      <c r="U28" s="361"/>
      <c r="V28" s="361"/>
      <c r="W28" s="361"/>
      <c r="X28" s="361"/>
      <c r="Y28" s="361"/>
      <c r="Z28" s="361">
        <v>7.8E-2</v>
      </c>
      <c r="AA28" s="361"/>
      <c r="AB28" s="361"/>
      <c r="AC28" s="361"/>
      <c r="AD28" s="361"/>
      <c r="AE28" s="361"/>
      <c r="AF28" s="361"/>
      <c r="AG28" s="361"/>
      <c r="AH28" s="361"/>
      <c r="AI28" s="361"/>
      <c r="AJ28" s="361"/>
      <c r="AK28" s="361"/>
      <c r="AL28" s="361"/>
      <c r="AM28" s="361"/>
      <c r="AN28" s="361"/>
      <c r="AO28" s="361"/>
      <c r="AP28" s="361"/>
      <c r="AQ28" s="361"/>
      <c r="AR28" s="361"/>
      <c r="AS28" s="361"/>
      <c r="AT28" s="361"/>
      <c r="AU28" s="361"/>
      <c r="AV28" s="338" t="s">
        <v>295</v>
      </c>
      <c r="AW28" s="338" t="s">
        <v>295</v>
      </c>
      <c r="AX28" s="432" t="s">
        <v>296</v>
      </c>
      <c r="AY28" s="433" t="s">
        <v>296</v>
      </c>
      <c r="AZ28" s="434" t="s">
        <v>1010</v>
      </c>
      <c r="BA28" s="432"/>
      <c r="BB28" s="432"/>
      <c r="BC28" s="371" t="s">
        <v>270</v>
      </c>
      <c r="BD28" s="371"/>
      <c r="BE28" s="371"/>
      <c r="BF28" s="371" t="s">
        <v>263</v>
      </c>
      <c r="BG28" s="371"/>
      <c r="BH28" s="432"/>
    </row>
    <row r="29" spans="1:62" ht="42" customHeight="1">
      <c r="A29" s="344">
        <f>SUBTOTAL(3,C$11:$C29)</f>
        <v>14</v>
      </c>
      <c r="B29" s="337" t="s">
        <v>299</v>
      </c>
      <c r="C29" s="338" t="s">
        <v>28</v>
      </c>
      <c r="D29" s="361">
        <v>0.1</v>
      </c>
      <c r="E29" s="366"/>
      <c r="F29" s="361">
        <v>0.1</v>
      </c>
      <c r="G29" s="414">
        <f t="shared" si="0"/>
        <v>0.1</v>
      </c>
      <c r="H29" s="413" t="s">
        <v>5</v>
      </c>
      <c r="I29" s="413" t="s">
        <v>7</v>
      </c>
      <c r="J29" s="413"/>
      <c r="K29" s="413" t="str">
        <f t="shared" si="1"/>
        <v xml:space="preserve">LUC, </v>
      </c>
      <c r="L29" s="413" t="str">
        <f t="shared" si="2"/>
        <v>LUC:0,1;</v>
      </c>
      <c r="M29" s="361">
        <v>0.1</v>
      </c>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361"/>
      <c r="AL29" s="361"/>
      <c r="AM29" s="361"/>
      <c r="AN29" s="361"/>
      <c r="AO29" s="361"/>
      <c r="AP29" s="361"/>
      <c r="AQ29" s="361"/>
      <c r="AR29" s="361"/>
      <c r="AS29" s="361"/>
      <c r="AT29" s="361"/>
      <c r="AU29" s="361"/>
      <c r="AV29" s="338" t="s">
        <v>300</v>
      </c>
      <c r="AW29" s="338" t="s">
        <v>300</v>
      </c>
      <c r="AX29" s="432" t="s">
        <v>301</v>
      </c>
      <c r="AY29" s="433" t="s">
        <v>301</v>
      </c>
      <c r="AZ29" s="434" t="s">
        <v>1012</v>
      </c>
      <c r="BA29" s="432"/>
      <c r="BB29" s="432"/>
      <c r="BC29" s="371" t="s">
        <v>270</v>
      </c>
      <c r="BD29" s="371"/>
      <c r="BE29" s="371"/>
      <c r="BF29" s="371" t="s">
        <v>263</v>
      </c>
      <c r="BG29" s="371"/>
      <c r="BH29" s="432"/>
    </row>
    <row r="30" spans="1:62" ht="40" customHeight="1">
      <c r="A30" s="344">
        <f>SUBTOTAL(3,C$11:$C30)</f>
        <v>15</v>
      </c>
      <c r="B30" s="362" t="s">
        <v>305</v>
      </c>
      <c r="C30" s="351" t="s">
        <v>28</v>
      </c>
      <c r="D30" s="357">
        <v>0.13</v>
      </c>
      <c r="E30" s="357">
        <v>0.08</v>
      </c>
      <c r="F30" s="357">
        <v>0.05</v>
      </c>
      <c r="G30" s="414">
        <f t="shared" si="0"/>
        <v>0.05</v>
      </c>
      <c r="H30" s="413" t="s">
        <v>1013</v>
      </c>
      <c r="I30" s="413" t="s">
        <v>1013</v>
      </c>
      <c r="J30" s="413"/>
      <c r="K30" s="413" t="str">
        <f t="shared" si="1"/>
        <v xml:space="preserve">DGD, TSC, </v>
      </c>
      <c r="L30" s="413" t="str">
        <f t="shared" si="2"/>
        <v>DGD:0,01;TSC:0,04;</v>
      </c>
      <c r="M30" s="357"/>
      <c r="N30" s="357"/>
      <c r="O30" s="357"/>
      <c r="P30" s="357"/>
      <c r="Q30" s="357"/>
      <c r="R30" s="357"/>
      <c r="S30" s="357"/>
      <c r="T30" s="357"/>
      <c r="U30" s="357"/>
      <c r="V30" s="357"/>
      <c r="W30" s="357"/>
      <c r="X30" s="357"/>
      <c r="Y30" s="357"/>
      <c r="Z30" s="357"/>
      <c r="AA30" s="357">
        <v>0.01</v>
      </c>
      <c r="AB30" s="357"/>
      <c r="AC30" s="357"/>
      <c r="AD30" s="357"/>
      <c r="AE30" s="357"/>
      <c r="AF30" s="357"/>
      <c r="AG30" s="357"/>
      <c r="AH30" s="357"/>
      <c r="AI30" s="357"/>
      <c r="AJ30" s="357"/>
      <c r="AK30" s="357"/>
      <c r="AL30" s="357"/>
      <c r="AM30" s="357"/>
      <c r="AN30" s="357">
        <v>0.04</v>
      </c>
      <c r="AO30" s="357"/>
      <c r="AP30" s="357"/>
      <c r="AQ30" s="357"/>
      <c r="AR30" s="357"/>
      <c r="AS30" s="357"/>
      <c r="AT30" s="357"/>
      <c r="AU30" s="357"/>
      <c r="AV30" s="346" t="s">
        <v>306</v>
      </c>
      <c r="AW30" s="346" t="s">
        <v>306</v>
      </c>
      <c r="AX30" s="432" t="s">
        <v>307</v>
      </c>
      <c r="AY30" s="433" t="s">
        <v>307</v>
      </c>
      <c r="AZ30" s="434" t="s">
        <v>1014</v>
      </c>
      <c r="BA30" s="432"/>
      <c r="BB30" s="432"/>
      <c r="BC30" s="371" t="s">
        <v>267</v>
      </c>
      <c r="BD30" s="371"/>
      <c r="BE30" s="371"/>
      <c r="BF30" s="371" t="s">
        <v>263</v>
      </c>
      <c r="BG30" s="371"/>
      <c r="BH30" s="432"/>
    </row>
    <row r="31" spans="1:62" ht="42" customHeight="1">
      <c r="A31" s="344">
        <f>SUBTOTAL(3,C$11:$C31)</f>
        <v>16</v>
      </c>
      <c r="B31" s="337" t="s">
        <v>271</v>
      </c>
      <c r="C31" s="338" t="s">
        <v>28</v>
      </c>
      <c r="D31" s="361">
        <v>0.16</v>
      </c>
      <c r="E31" s="372"/>
      <c r="F31" s="361">
        <v>0.16</v>
      </c>
      <c r="G31" s="414">
        <f t="shared" si="0"/>
        <v>0.15999999999999998</v>
      </c>
      <c r="H31" s="413" t="s">
        <v>997</v>
      </c>
      <c r="I31" s="413" t="s">
        <v>997</v>
      </c>
      <c r="J31" s="413"/>
      <c r="K31" s="413" t="str">
        <f t="shared" si="1"/>
        <v xml:space="preserve">DSH, ODT, </v>
      </c>
      <c r="L31" s="413" t="str">
        <f t="shared" si="2"/>
        <v>DSH:0,144;ODT:0,016;</v>
      </c>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f>0.09/62.5%</f>
        <v>0.14399999999999999</v>
      </c>
      <c r="AK31" s="361"/>
      <c r="AL31" s="361"/>
      <c r="AM31" s="361">
        <f>0.01/62.5%</f>
        <v>1.6E-2</v>
      </c>
      <c r="AN31" s="361"/>
      <c r="AO31" s="361"/>
      <c r="AP31" s="361"/>
      <c r="AQ31" s="361"/>
      <c r="AR31" s="361"/>
      <c r="AS31" s="361"/>
      <c r="AT31" s="361"/>
      <c r="AU31" s="361"/>
      <c r="AV31" s="338" t="s">
        <v>217</v>
      </c>
      <c r="AW31" s="338" t="s">
        <v>217</v>
      </c>
      <c r="AX31" s="432" t="s">
        <v>272</v>
      </c>
      <c r="AY31" s="433" t="s">
        <v>272</v>
      </c>
      <c r="AZ31" s="434" t="s">
        <v>998</v>
      </c>
      <c r="BA31" s="432"/>
      <c r="BB31" s="432"/>
      <c r="BC31" s="371" t="s">
        <v>270</v>
      </c>
      <c r="BD31" s="371"/>
      <c r="BE31" s="371"/>
      <c r="BF31" s="371" t="s">
        <v>263</v>
      </c>
      <c r="BG31" s="371"/>
      <c r="BH31" s="432"/>
    </row>
    <row r="32" spans="1:62" ht="42" customHeight="1">
      <c r="A32" s="344">
        <f>SUBTOTAL(3,C$11:$C32)</f>
        <v>17</v>
      </c>
      <c r="B32" s="337" t="s">
        <v>276</v>
      </c>
      <c r="C32" s="338" t="s">
        <v>28</v>
      </c>
      <c r="D32" s="361">
        <v>0.09</v>
      </c>
      <c r="E32" s="366"/>
      <c r="F32" s="361">
        <v>0.09</v>
      </c>
      <c r="G32" s="414">
        <f t="shared" si="0"/>
        <v>0.09</v>
      </c>
      <c r="H32" s="413" t="s">
        <v>48</v>
      </c>
      <c r="I32" s="413" t="s">
        <v>48</v>
      </c>
      <c r="J32" s="413"/>
      <c r="K32" s="413" t="str">
        <f t="shared" si="1"/>
        <v xml:space="preserve">DGD, </v>
      </c>
      <c r="L32" s="413" t="str">
        <f t="shared" si="2"/>
        <v>DGD:0,09;</v>
      </c>
      <c r="M32" s="361"/>
      <c r="N32" s="361"/>
      <c r="O32" s="361"/>
      <c r="P32" s="361"/>
      <c r="Q32" s="361"/>
      <c r="R32" s="361"/>
      <c r="S32" s="361"/>
      <c r="T32" s="361"/>
      <c r="U32" s="361"/>
      <c r="V32" s="361"/>
      <c r="W32" s="361"/>
      <c r="X32" s="361"/>
      <c r="Y32" s="361"/>
      <c r="Z32" s="361"/>
      <c r="AA32" s="361">
        <v>0.09</v>
      </c>
      <c r="AB32" s="361"/>
      <c r="AC32" s="361"/>
      <c r="AD32" s="361"/>
      <c r="AE32" s="361"/>
      <c r="AF32" s="361"/>
      <c r="AG32" s="361"/>
      <c r="AH32" s="361"/>
      <c r="AI32" s="361"/>
      <c r="AJ32" s="361"/>
      <c r="AK32" s="361"/>
      <c r="AL32" s="361"/>
      <c r="AM32" s="361"/>
      <c r="AN32" s="361"/>
      <c r="AO32" s="361"/>
      <c r="AP32" s="361"/>
      <c r="AQ32" s="361"/>
      <c r="AR32" s="361"/>
      <c r="AS32" s="361"/>
      <c r="AT32" s="361"/>
      <c r="AU32" s="361"/>
      <c r="AV32" s="338" t="s">
        <v>277</v>
      </c>
      <c r="AW32" s="338" t="s">
        <v>277</v>
      </c>
      <c r="AX32" s="432" t="s">
        <v>278</v>
      </c>
      <c r="AY32" s="433" t="s">
        <v>278</v>
      </c>
      <c r="AZ32" s="434" t="s">
        <v>1003</v>
      </c>
      <c r="BA32" s="432"/>
      <c r="BB32" s="432"/>
      <c r="BC32" s="371" t="s">
        <v>270</v>
      </c>
      <c r="BD32" s="371"/>
      <c r="BE32" s="371"/>
      <c r="BF32" s="371" t="s">
        <v>263</v>
      </c>
      <c r="BG32" s="371"/>
      <c r="BH32" s="432"/>
    </row>
    <row r="33" spans="1:62" ht="42" customHeight="1">
      <c r="A33" s="344">
        <f>SUBTOTAL(3,C$11:$C33)</f>
        <v>18</v>
      </c>
      <c r="B33" s="337" t="s">
        <v>279</v>
      </c>
      <c r="C33" s="338" t="s">
        <v>28</v>
      </c>
      <c r="D33" s="361">
        <v>0.2</v>
      </c>
      <c r="E33" s="366"/>
      <c r="F33" s="361">
        <v>0.2</v>
      </c>
      <c r="G33" s="414">
        <f t="shared" si="0"/>
        <v>0.2</v>
      </c>
      <c r="H33" s="413" t="s">
        <v>48</v>
      </c>
      <c r="I33" s="413" t="s">
        <v>48</v>
      </c>
      <c r="J33" s="413"/>
      <c r="K33" s="413" t="str">
        <f t="shared" si="1"/>
        <v xml:space="preserve">DGD, </v>
      </c>
      <c r="L33" s="413" t="str">
        <f t="shared" si="2"/>
        <v>DGD:0,2;</v>
      </c>
      <c r="M33" s="361"/>
      <c r="N33" s="361"/>
      <c r="O33" s="361"/>
      <c r="P33" s="361"/>
      <c r="Q33" s="361"/>
      <c r="R33" s="361"/>
      <c r="S33" s="361"/>
      <c r="T33" s="361"/>
      <c r="U33" s="361"/>
      <c r="V33" s="361"/>
      <c r="W33" s="361"/>
      <c r="X33" s="361"/>
      <c r="Y33" s="361"/>
      <c r="Z33" s="361"/>
      <c r="AA33" s="361">
        <v>0.2</v>
      </c>
      <c r="AB33" s="361"/>
      <c r="AC33" s="361"/>
      <c r="AD33" s="361"/>
      <c r="AE33" s="361"/>
      <c r="AF33" s="361"/>
      <c r="AG33" s="361"/>
      <c r="AH33" s="361"/>
      <c r="AI33" s="361"/>
      <c r="AJ33" s="361"/>
      <c r="AK33" s="361"/>
      <c r="AL33" s="361"/>
      <c r="AM33" s="361"/>
      <c r="AN33" s="361"/>
      <c r="AO33" s="361"/>
      <c r="AP33" s="361"/>
      <c r="AQ33" s="361"/>
      <c r="AR33" s="361"/>
      <c r="AS33" s="361"/>
      <c r="AT33" s="361"/>
      <c r="AU33" s="361"/>
      <c r="AV33" s="338" t="s">
        <v>280</v>
      </c>
      <c r="AW33" s="338" t="s">
        <v>280</v>
      </c>
      <c r="AX33" s="432" t="s">
        <v>281</v>
      </c>
      <c r="AY33" s="433" t="s">
        <v>281</v>
      </c>
      <c r="AZ33" s="434" t="s">
        <v>1004</v>
      </c>
      <c r="BA33" s="432"/>
      <c r="BB33" s="432"/>
      <c r="BC33" s="371" t="s">
        <v>270</v>
      </c>
      <c r="BD33" s="371"/>
      <c r="BE33" s="371"/>
      <c r="BF33" s="371" t="s">
        <v>263</v>
      </c>
      <c r="BG33" s="371"/>
      <c r="BH33" s="432"/>
      <c r="BI33" s="409" t="s">
        <v>358</v>
      </c>
      <c r="BJ33" s="409" t="s">
        <v>254</v>
      </c>
    </row>
    <row r="34" spans="1:62" ht="42" customHeight="1">
      <c r="A34" s="344">
        <f>SUBTOTAL(3,C$11:$C34)</f>
        <v>19</v>
      </c>
      <c r="B34" s="337" t="s">
        <v>297</v>
      </c>
      <c r="C34" s="338" t="s">
        <v>28</v>
      </c>
      <c r="D34" s="361">
        <v>0.23</v>
      </c>
      <c r="E34" s="366"/>
      <c r="F34" s="361">
        <v>0.23</v>
      </c>
      <c r="G34" s="414">
        <f t="shared" si="0"/>
        <v>0.23</v>
      </c>
      <c r="H34" s="413" t="s">
        <v>48</v>
      </c>
      <c r="I34" s="413" t="s">
        <v>48</v>
      </c>
      <c r="J34" s="413"/>
      <c r="K34" s="413" t="str">
        <f t="shared" si="1"/>
        <v xml:space="preserve">DGD, </v>
      </c>
      <c r="L34" s="413" t="str">
        <f t="shared" si="2"/>
        <v>DGD:0,23;</v>
      </c>
      <c r="M34" s="361"/>
      <c r="N34" s="361"/>
      <c r="O34" s="361"/>
      <c r="P34" s="361"/>
      <c r="Q34" s="361"/>
      <c r="R34" s="361"/>
      <c r="S34" s="361"/>
      <c r="T34" s="361"/>
      <c r="U34" s="361"/>
      <c r="V34" s="361"/>
      <c r="W34" s="361"/>
      <c r="X34" s="361"/>
      <c r="Y34" s="361"/>
      <c r="Z34" s="361"/>
      <c r="AA34" s="361">
        <v>0.23</v>
      </c>
      <c r="AB34" s="361"/>
      <c r="AC34" s="361"/>
      <c r="AD34" s="361"/>
      <c r="AE34" s="361"/>
      <c r="AF34" s="361"/>
      <c r="AG34" s="361"/>
      <c r="AH34" s="361"/>
      <c r="AI34" s="361"/>
      <c r="AJ34" s="361"/>
      <c r="AK34" s="361"/>
      <c r="AL34" s="361"/>
      <c r="AM34" s="361"/>
      <c r="AN34" s="361"/>
      <c r="AO34" s="361"/>
      <c r="AP34" s="361"/>
      <c r="AQ34" s="361"/>
      <c r="AR34" s="361"/>
      <c r="AS34" s="361"/>
      <c r="AT34" s="361"/>
      <c r="AU34" s="361"/>
      <c r="AV34" s="338" t="s">
        <v>266</v>
      </c>
      <c r="AW34" s="338" t="s">
        <v>266</v>
      </c>
      <c r="AX34" s="432" t="s">
        <v>298</v>
      </c>
      <c r="AY34" s="433" t="s">
        <v>298</v>
      </c>
      <c r="AZ34" s="434" t="s">
        <v>1011</v>
      </c>
      <c r="BA34" s="432"/>
      <c r="BB34" s="432"/>
      <c r="BC34" s="371" t="s">
        <v>270</v>
      </c>
      <c r="BD34" s="371"/>
      <c r="BE34" s="371"/>
      <c r="BF34" s="371"/>
      <c r="BG34" s="371" t="s">
        <v>263</v>
      </c>
      <c r="BH34" s="432"/>
    </row>
    <row r="35" spans="1:62" ht="42" customHeight="1">
      <c r="A35" s="344">
        <f>SUBTOTAL(3,C$11:$C35)</f>
        <v>20</v>
      </c>
      <c r="B35" s="337" t="s">
        <v>1700</v>
      </c>
      <c r="C35" s="338" t="s">
        <v>28</v>
      </c>
      <c r="D35" s="361">
        <v>0.15</v>
      </c>
      <c r="E35" s="366"/>
      <c r="F35" s="361">
        <v>0.15</v>
      </c>
      <c r="G35" s="414">
        <v>0.15</v>
      </c>
      <c r="H35" s="413" t="s">
        <v>1701</v>
      </c>
      <c r="I35" s="413"/>
      <c r="J35" s="413"/>
      <c r="K35" s="413"/>
      <c r="L35" s="413"/>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c r="AN35" s="361"/>
      <c r="AO35" s="361"/>
      <c r="AP35" s="361"/>
      <c r="AQ35" s="361"/>
      <c r="AR35" s="361"/>
      <c r="AS35" s="361"/>
      <c r="AT35" s="361"/>
      <c r="AU35" s="361"/>
      <c r="AV35" s="338" t="s">
        <v>370</v>
      </c>
      <c r="AW35" s="338"/>
      <c r="AX35" s="432" t="s">
        <v>1702</v>
      </c>
      <c r="AY35" s="356"/>
      <c r="AZ35" s="352"/>
      <c r="BA35" s="209"/>
      <c r="BB35" s="350"/>
      <c r="BC35" s="371"/>
      <c r="BD35" s="371"/>
      <c r="BE35" s="371"/>
      <c r="BF35" s="371"/>
      <c r="BG35" s="371"/>
      <c r="BH35" s="350"/>
      <c r="BJ35" s="409" t="s">
        <v>1703</v>
      </c>
    </row>
    <row r="36" spans="1:62" s="179" customFormat="1" ht="24.65" customHeight="1">
      <c r="A36" s="145"/>
      <c r="B36" s="163" t="s">
        <v>1758</v>
      </c>
      <c r="C36" s="164"/>
      <c r="D36" s="368"/>
      <c r="E36" s="368"/>
      <c r="F36" s="368"/>
      <c r="G36" s="410"/>
      <c r="H36" s="411"/>
      <c r="I36" s="411"/>
      <c r="J36" s="411"/>
      <c r="K36" s="411"/>
      <c r="L36" s="411"/>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c r="AN36" s="368"/>
      <c r="AO36" s="368"/>
      <c r="AP36" s="368"/>
      <c r="AQ36" s="368"/>
      <c r="AR36" s="368"/>
      <c r="AS36" s="368"/>
      <c r="AT36" s="368"/>
      <c r="AU36" s="368"/>
      <c r="AV36" s="368"/>
      <c r="AW36" s="368"/>
      <c r="AX36" s="368"/>
      <c r="AY36" s="257"/>
      <c r="AZ36" s="178"/>
      <c r="BA36" s="368"/>
      <c r="BB36" s="368"/>
      <c r="BC36" s="165"/>
      <c r="BD36" s="165"/>
      <c r="BE36" s="165"/>
      <c r="BF36" s="165"/>
      <c r="BG36" s="165"/>
      <c r="BH36" s="368"/>
      <c r="BI36" s="412"/>
      <c r="BJ36" s="412"/>
    </row>
    <row r="37" spans="1:62" s="430" customFormat="1" ht="42" customHeight="1">
      <c r="A37" s="416"/>
      <c r="B37" s="417" t="s">
        <v>282</v>
      </c>
      <c r="C37" s="418" t="s">
        <v>28</v>
      </c>
      <c r="D37" s="419">
        <v>0.15</v>
      </c>
      <c r="E37" s="420"/>
      <c r="F37" s="419"/>
      <c r="G37" s="421"/>
      <c r="H37" s="420"/>
      <c r="I37" s="420"/>
      <c r="J37" s="420"/>
      <c r="K37" s="420"/>
      <c r="L37" s="420"/>
      <c r="M37" s="419"/>
      <c r="N37" s="419"/>
      <c r="O37" s="419"/>
      <c r="P37" s="419"/>
      <c r="Q37" s="419"/>
      <c r="R37" s="419"/>
      <c r="S37" s="419"/>
      <c r="T37" s="419"/>
      <c r="U37" s="419"/>
      <c r="V37" s="419"/>
      <c r="W37" s="419"/>
      <c r="X37" s="419"/>
      <c r="Y37" s="419"/>
      <c r="Z37" s="419"/>
      <c r="AA37" s="419"/>
      <c r="AB37" s="419"/>
      <c r="AC37" s="419"/>
      <c r="AD37" s="419"/>
      <c r="AE37" s="419"/>
      <c r="AF37" s="419"/>
      <c r="AG37" s="419"/>
      <c r="AH37" s="419"/>
      <c r="AI37" s="419"/>
      <c r="AJ37" s="419"/>
      <c r="AK37" s="419"/>
      <c r="AL37" s="419"/>
      <c r="AM37" s="419"/>
      <c r="AN37" s="419"/>
      <c r="AO37" s="419"/>
      <c r="AP37" s="419"/>
      <c r="AQ37" s="419"/>
      <c r="AR37" s="419"/>
      <c r="AS37" s="419"/>
      <c r="AT37" s="419"/>
      <c r="AU37" s="419"/>
      <c r="AV37" s="422" t="s">
        <v>283</v>
      </c>
      <c r="AW37" s="422"/>
      <c r="AX37" s="422" t="s">
        <v>1863</v>
      </c>
      <c r="AY37" s="424"/>
      <c r="AZ37" s="425"/>
      <c r="BA37" s="426"/>
      <c r="BB37" s="426"/>
      <c r="BC37" s="427"/>
      <c r="BD37" s="427"/>
      <c r="BE37" s="427"/>
      <c r="BF37" s="427"/>
      <c r="BG37" s="427"/>
      <c r="BH37" s="428"/>
      <c r="BI37" s="429" t="s">
        <v>1859</v>
      </c>
      <c r="BJ37" s="429"/>
    </row>
    <row r="38" spans="1:62" ht="54.75" customHeight="1">
      <c r="A38" s="158" t="s">
        <v>9</v>
      </c>
      <c r="B38" s="159" t="s">
        <v>1711</v>
      </c>
      <c r="C38" s="338"/>
      <c r="D38" s="361"/>
      <c r="E38" s="366"/>
      <c r="F38" s="361"/>
      <c r="G38" s="414"/>
      <c r="H38" s="413"/>
      <c r="I38" s="413"/>
      <c r="J38" s="413"/>
      <c r="K38" s="413"/>
      <c r="L38" s="413"/>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1"/>
      <c r="AL38" s="361"/>
      <c r="AM38" s="361"/>
      <c r="AN38" s="361"/>
      <c r="AO38" s="361"/>
      <c r="AP38" s="361"/>
      <c r="AQ38" s="361"/>
      <c r="AR38" s="361"/>
      <c r="AS38" s="361"/>
      <c r="AT38" s="361"/>
      <c r="AU38" s="361"/>
      <c r="AV38" s="338"/>
      <c r="AW38" s="338"/>
      <c r="AX38" s="432"/>
      <c r="AY38" s="356"/>
      <c r="AZ38" s="352"/>
      <c r="BA38" s="209"/>
      <c r="BB38" s="350"/>
      <c r="BC38" s="371"/>
      <c r="BD38" s="371"/>
      <c r="BE38" s="371"/>
      <c r="BF38" s="371"/>
      <c r="BG38" s="371"/>
      <c r="BH38" s="350"/>
    </row>
    <row r="39" spans="1:62" ht="62.25" customHeight="1">
      <c r="A39" s="338" t="s">
        <v>1712</v>
      </c>
      <c r="B39" s="337" t="s">
        <v>1715</v>
      </c>
      <c r="C39" s="338"/>
      <c r="D39" s="361"/>
      <c r="E39" s="366"/>
      <c r="F39" s="361"/>
      <c r="G39" s="414"/>
      <c r="H39" s="413"/>
      <c r="I39" s="413"/>
      <c r="J39" s="413"/>
      <c r="K39" s="413"/>
      <c r="L39" s="413"/>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361"/>
      <c r="AN39" s="361"/>
      <c r="AO39" s="361"/>
      <c r="AP39" s="361"/>
      <c r="AQ39" s="361"/>
      <c r="AR39" s="361"/>
      <c r="AS39" s="361"/>
      <c r="AT39" s="361"/>
      <c r="AU39" s="361"/>
      <c r="AV39" s="338"/>
      <c r="AW39" s="338"/>
      <c r="AX39" s="432"/>
      <c r="AY39" s="356"/>
      <c r="AZ39" s="352"/>
      <c r="BA39" s="209"/>
      <c r="BB39" s="350"/>
      <c r="BC39" s="371"/>
      <c r="BD39" s="371"/>
      <c r="BE39" s="371"/>
      <c r="BF39" s="371"/>
      <c r="BG39" s="371"/>
      <c r="BH39" s="350"/>
    </row>
    <row r="40" spans="1:62" ht="54.75" customHeight="1">
      <c r="A40" s="338" t="s">
        <v>1713</v>
      </c>
      <c r="B40" s="337" t="s">
        <v>1714</v>
      </c>
      <c r="C40" s="338"/>
      <c r="D40" s="361"/>
      <c r="E40" s="366"/>
      <c r="F40" s="361"/>
      <c r="G40" s="414"/>
      <c r="H40" s="413"/>
      <c r="I40" s="413"/>
      <c r="J40" s="413"/>
      <c r="K40" s="413"/>
      <c r="L40" s="413"/>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361"/>
      <c r="AN40" s="361"/>
      <c r="AO40" s="361"/>
      <c r="AP40" s="361"/>
      <c r="AQ40" s="361"/>
      <c r="AR40" s="361"/>
      <c r="AS40" s="361"/>
      <c r="AT40" s="361"/>
      <c r="AU40" s="361"/>
      <c r="AV40" s="338"/>
      <c r="AW40" s="338"/>
      <c r="AX40" s="432"/>
      <c r="AY40" s="356"/>
      <c r="AZ40" s="352"/>
      <c r="BA40" s="209"/>
      <c r="BB40" s="350"/>
      <c r="BC40" s="371"/>
      <c r="BD40" s="371"/>
      <c r="BE40" s="371"/>
      <c r="BF40" s="371"/>
      <c r="BG40" s="371"/>
      <c r="BH40" s="350"/>
    </row>
    <row r="41" spans="1:62" ht="25" customHeight="1">
      <c r="A41" s="151" t="s">
        <v>974</v>
      </c>
      <c r="B41" s="154" t="s">
        <v>66</v>
      </c>
      <c r="C41" s="155"/>
      <c r="D41" s="351"/>
      <c r="E41" s="351"/>
      <c r="F41" s="351"/>
      <c r="G41" s="414"/>
      <c r="H41" s="413"/>
      <c r="I41" s="413"/>
      <c r="J41" s="413"/>
      <c r="K41" s="413" t="str">
        <f>IF(M41&lt;&gt;0,$M$5&amp;", ","")&amp;IF(N41&lt;&gt;0,$N$5&amp;", ","")&amp;IF(O41&lt;&gt;0,O$5&amp;", ","")&amp;IF(P41&lt;&gt;0,P$5&amp;", ","")&amp;IF(Q41&lt;&gt;0,Q$5&amp;", ","")&amp;IF(R41&lt;&gt;0,R$5&amp;", ","")&amp;IF(S41&lt;&gt;0,S$5&amp;", ","")&amp;IF(T41&lt;&gt;0,T$5&amp;", ","")&amp;IF(U41&lt;&gt;0,U$5&amp;", ","")&amp;IF(V41&lt;&gt;0,V$5&amp;", ","")&amp;IF(W41&lt;&gt;0,W$5&amp;", ","")&amp;IF(X41&lt;&gt;0,X$5&amp;", ","")&amp;IF(Y41&lt;&gt;0,Y$5&amp;", ","")&amp;IF(Z41&lt;&gt;0,Z$5&amp;", ","")&amp;IF(AA41&lt;&gt;0,AA$5&amp;", ","")&amp;IF(AB41&lt;&gt;0,AB$5&amp;", ","")&amp;IF(AC41&lt;&gt;0,AC$5&amp;", ","")&amp;IF(AD41&lt;&gt;0,AD$5&amp;", ","")&amp;IF(AE41&lt;&gt;0,AE$5&amp;", ","")&amp;IF(AF41&lt;&gt;0,AF$5&amp;", ","")&amp;IF(AG41&lt;&gt;0,AG$5&amp;", ","")&amp;IF(AH41&lt;&gt;0,AH$5&amp;", ","")&amp;IF(AI41&lt;&gt;0,AI$5&amp;", ","")&amp;IF(AJ41&lt;&gt;0,AJ$5&amp;", ","")&amp;IF(AK41&lt;&gt;0,AK$5&amp;", ","")&amp;IF(AL41&lt;&gt;0,AL$5&amp;", ","")&amp;IF(AM41&lt;&gt;0,AM$5&amp;", ","")&amp;IF(AN41&lt;&gt;0,AN$5&amp;", ","")&amp;IF(AO41&lt;&gt;0,AO$5&amp;", ","")&amp;IF(AP41&lt;&gt;0,AP$5&amp;", ","")&amp;IF(AQ41&lt;&gt;0,AQ$5&amp;", ","")&amp;IF(AR41&lt;&gt;0,AR$5,"")&amp;IF(AS41&lt;&gt;0,AS$5,"")&amp;IF(AT41&lt;&gt;0,AT$5,"")&amp;IF(AU41&lt;&gt;0,AU$5,"")</f>
        <v/>
      </c>
      <c r="L41" s="413" t="str">
        <f>IF(M41="","",$M$5&amp;":"&amp;M41&amp;";")&amp;IF(N41="","",$N$5&amp;":"&amp;N41&amp;";")&amp;IF(O41="","",$O$5&amp;":"&amp;O41&amp;";")&amp;IF(P41="","",$P$5&amp;":"&amp;P41&amp;";")&amp;IF(Q41="","",$Q$5&amp;":"&amp;Q41&amp;";")&amp;IF(R41="","",$R$5&amp;":"&amp;R41&amp;";")&amp;IF(S41="","",$S$5&amp;":"&amp;S41&amp;";")&amp;IF(T41="","",$T$5&amp;":"&amp;T41&amp;";")&amp;IF(U41="","",$U$5&amp;":"&amp;U41&amp;";")&amp;IF(V41="","",$V$5&amp;":"&amp;V41&amp;";")&amp;IF(W41="","",$W$5&amp;":"&amp;W41&amp;";")&amp;IF(X41="","",$X$5&amp;":"&amp;X41&amp;";")&amp;IF(Y41="","",$Y$5&amp;":"&amp;Y41&amp;";")&amp;IF(Z41="","",$Z$5&amp;":"&amp;Z41&amp;";")&amp;IF(AA41="","",$AA$5&amp;":"&amp;AA41&amp;";")&amp;IF(AB41="","",$AB$5&amp;":"&amp;AB41&amp;";")&amp;IF(AC41="","",$AC$5&amp;":"&amp;AC41&amp;";")&amp;IF(AD41="","",$AD$5&amp;":"&amp;AD41&amp;";")&amp;IF(AE41="","",$AE$5&amp;":"&amp;AE41&amp;";")&amp;IF(AF41="","",$AF$5&amp;":"&amp;AF41&amp;";")&amp;IF(AG41="","",$AG$5&amp;":"&amp;AG41&amp;";")&amp;IF(AH41="","",$AH$5&amp;":"&amp;AH41&amp;";")&amp;IF(AI41="","",$AI$5&amp;":"&amp;AI41&amp;";")&amp;IF(AJ41="","",$AJ$5&amp;":"&amp;AJ41&amp;";")&amp;IF(AK41="","",$AK$5&amp;":"&amp;AK41&amp;";")&amp;IF(AL41="","",$AL$5&amp;":"&amp;AL41&amp;";")&amp;IF(AM41="","",$AM$5&amp;":"&amp;AM41&amp;";")&amp;IF(AN41="","",$AN$5&amp;":"&amp;AN41&amp;";")&amp;IF(AO41="","",$AO$5&amp;":"&amp;AO41&amp;";")&amp;IF(AP41="","",$AP$5&amp;":"&amp;AP41&amp;";")&amp;IF(AQ41="","",$AQ$5&amp;":"&amp;AQ41&amp;";")&amp;IF(AR41="","",$AR$5&amp;":"&amp;AR41&amp;";")&amp;IF(AS41="","",$AS$5&amp;":"&amp;AS41&amp;";")&amp;IF(AT41="","",$AT$5&amp;":"&amp;AT41&amp;";")&amp;IF(AU41="","",$AU$5&amp;":"&amp;AU41&amp;";")</f>
        <v/>
      </c>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351"/>
      <c r="AM41" s="351"/>
      <c r="AN41" s="351"/>
      <c r="AO41" s="351"/>
      <c r="AP41" s="351"/>
      <c r="AQ41" s="351"/>
      <c r="AR41" s="351"/>
      <c r="AS41" s="351"/>
      <c r="AT41" s="351"/>
      <c r="AU41" s="351"/>
      <c r="AV41" s="351"/>
      <c r="AW41" s="351"/>
      <c r="AX41" s="351"/>
      <c r="AY41" s="260"/>
      <c r="AZ41" s="181"/>
      <c r="BA41" s="351"/>
      <c r="BB41" s="351"/>
      <c r="BC41" s="156"/>
      <c r="BD41" s="156"/>
      <c r="BE41" s="156"/>
      <c r="BF41" s="156"/>
      <c r="BG41" s="156"/>
      <c r="BH41" s="351"/>
    </row>
    <row r="42" spans="1:62" s="179" customFormat="1" ht="24.65" customHeight="1">
      <c r="A42" s="145"/>
      <c r="B42" s="163" t="s">
        <v>1757</v>
      </c>
      <c r="C42" s="164"/>
      <c r="D42" s="368"/>
      <c r="E42" s="368"/>
      <c r="F42" s="368"/>
      <c r="G42" s="410"/>
      <c r="H42" s="411"/>
      <c r="I42" s="411"/>
      <c r="J42" s="411"/>
      <c r="K42" s="411"/>
      <c r="L42" s="411"/>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c r="AM42" s="368"/>
      <c r="AN42" s="368"/>
      <c r="AO42" s="368"/>
      <c r="AP42" s="368"/>
      <c r="AQ42" s="368"/>
      <c r="AR42" s="368"/>
      <c r="AS42" s="368"/>
      <c r="AT42" s="368"/>
      <c r="AU42" s="368"/>
      <c r="AV42" s="368"/>
      <c r="AW42" s="368"/>
      <c r="AX42" s="368"/>
      <c r="AY42" s="257"/>
      <c r="AZ42" s="178"/>
      <c r="BA42" s="368"/>
      <c r="BB42" s="368"/>
      <c r="BC42" s="165"/>
      <c r="BD42" s="165"/>
      <c r="BE42" s="165"/>
      <c r="BF42" s="165"/>
      <c r="BG42" s="165"/>
      <c r="BH42" s="368"/>
      <c r="BI42" s="412"/>
      <c r="BJ42" s="412"/>
    </row>
    <row r="43" spans="1:62" ht="44.25" customHeight="1">
      <c r="A43" s="344">
        <f>SUBTOTAL(3,C$11:$C43)</f>
        <v>22</v>
      </c>
      <c r="B43" s="362" t="s">
        <v>312</v>
      </c>
      <c r="C43" s="351" t="s">
        <v>30</v>
      </c>
      <c r="D43" s="339">
        <v>103.9</v>
      </c>
      <c r="E43" s="339">
        <v>96.94</v>
      </c>
      <c r="F43" s="339">
        <f>D43-E43</f>
        <v>6.960000000000008</v>
      </c>
      <c r="G43" s="414">
        <f t="shared" ref="G43:G50" si="3">SUM(M43:AR43)</f>
        <v>5.3698397537939089</v>
      </c>
      <c r="H43" s="413" t="s">
        <v>1016</v>
      </c>
      <c r="I43" s="413" t="s">
        <v>1017</v>
      </c>
      <c r="J43" s="413" t="s">
        <v>1018</v>
      </c>
      <c r="K43" s="413" t="str">
        <f t="shared" ref="K43:K50" si="4">IF(M43&lt;&gt;0,$M$5&amp;", ","")&amp;IF(N43&lt;&gt;0,$N$5&amp;", ","")&amp;IF(O43&lt;&gt;0,O$5&amp;", ","")&amp;IF(P43&lt;&gt;0,P$5&amp;", ","")&amp;IF(Q43&lt;&gt;0,Q$5&amp;", ","")&amp;IF(R43&lt;&gt;0,R$5&amp;", ","")&amp;IF(S43&lt;&gt;0,S$5&amp;", ","")&amp;IF(T43&lt;&gt;0,T$5&amp;", ","")&amp;IF(U43&lt;&gt;0,U$5&amp;", ","")&amp;IF(V43&lt;&gt;0,V$5&amp;", ","")&amp;IF(W43&lt;&gt;0,W$5&amp;", ","")&amp;IF(X43&lt;&gt;0,X$5&amp;", ","")&amp;IF(Y43&lt;&gt;0,Y$5&amp;", ","")&amp;IF(Z43&lt;&gt;0,Z$5&amp;", ","")&amp;IF(AA43&lt;&gt;0,AA$5&amp;", ","")&amp;IF(AB43&lt;&gt;0,AB$5&amp;", ","")&amp;IF(AC43&lt;&gt;0,AC$5&amp;", ","")&amp;IF(AD43&lt;&gt;0,AD$5&amp;", ","")&amp;IF(AE43&lt;&gt;0,AE$5&amp;", ","")&amp;IF(AF43&lt;&gt;0,AF$5&amp;", ","")&amp;IF(AG43&lt;&gt;0,AG$5&amp;", ","")&amp;IF(AH43&lt;&gt;0,AH$5&amp;", ","")&amp;IF(AI43&lt;&gt;0,AI$5&amp;", ","")&amp;IF(AJ43&lt;&gt;0,AJ$5&amp;", ","")&amp;IF(AK43&lt;&gt;0,AK$5&amp;", ","")&amp;IF(AL43&lt;&gt;0,AL$5&amp;", ","")&amp;IF(AM43&lt;&gt;0,AM$5&amp;", ","")&amp;IF(AN43&lt;&gt;0,AN$5&amp;", ","")&amp;IF(AO43&lt;&gt;0,AO$5&amp;", ","")&amp;IF(AP43&lt;&gt;0,AP$5&amp;", ","")&amp;IF(AQ43&lt;&gt;0,AQ$5&amp;", ","")&amp;IF(AR43&lt;&gt;0,AR$5,"")&amp;IF(AS43&lt;&gt;0,AS$5,"")&amp;IF(AT43&lt;&gt;0,AT$5,"")&amp;IF(AU43&lt;&gt;0,AU$5,"")</f>
        <v xml:space="preserve">LUC, HNK, NTD, </v>
      </c>
      <c r="L43" s="413" t="str">
        <f t="shared" ref="L43:L50" si="5">IF(M43="","",$M$5&amp;":"&amp;M43&amp;";")&amp;IF(N43="","",$N$5&amp;":"&amp;N43&amp;";")&amp;IF(O43="","",$O$5&amp;":"&amp;O43&amp;";")&amp;IF(P43="","",$P$5&amp;":"&amp;P43&amp;";")&amp;IF(Q43="","",$Q$5&amp;":"&amp;Q43&amp;";")&amp;IF(R43="","",$R$5&amp;":"&amp;R43&amp;";")&amp;IF(S43="","",$S$5&amp;":"&amp;S43&amp;";")&amp;IF(T43="","",$T$5&amp;":"&amp;T43&amp;";")&amp;IF(U43="","",$U$5&amp;":"&amp;U43&amp;";")&amp;IF(V43="","",$V$5&amp;":"&amp;V43&amp;";")&amp;IF(W43="","",$W$5&amp;":"&amp;W43&amp;";")&amp;IF(X43="","",$X$5&amp;":"&amp;X43&amp;";")&amp;IF(Y43="","",$Y$5&amp;":"&amp;Y43&amp;";")&amp;IF(Z43="","",$Z$5&amp;":"&amp;Z43&amp;";")&amp;IF(AA43="","",$AA$5&amp;":"&amp;AA43&amp;";")&amp;IF(AB43="","",$AB$5&amp;":"&amp;AB43&amp;";")&amp;IF(AC43="","",$AC$5&amp;":"&amp;AC43&amp;";")&amp;IF(AD43="","",$AD$5&amp;":"&amp;AD43&amp;";")&amp;IF(AE43="","",$AE$5&amp;":"&amp;AE43&amp;";")&amp;IF(AF43="","",$AF$5&amp;":"&amp;AF43&amp;";")&amp;IF(AG43="","",$AG$5&amp;":"&amp;AG43&amp;";")&amp;IF(AH43="","",$AH$5&amp;":"&amp;AH43&amp;";")&amp;IF(AI43="","",$AI$5&amp;":"&amp;AI43&amp;";")&amp;IF(AJ43="","",$AJ$5&amp;":"&amp;AJ43&amp;";")&amp;IF(AK43="","",$AK$5&amp;":"&amp;AK43&amp;";")&amp;IF(AL43="","",$AL$5&amp;":"&amp;AL43&amp;";")&amp;IF(AM43="","",$AM$5&amp;":"&amp;AM43&amp;";")&amp;IF(AN43="","",$AN$5&amp;":"&amp;AN43&amp;";")&amp;IF(AO43="","",$AO$5&amp;":"&amp;AO43&amp;";")&amp;IF(AP43="","",$AP$5&amp;":"&amp;AP43&amp;";")&amp;IF(AQ43="","",$AQ$5&amp;":"&amp;AQ43&amp;";")&amp;IF(AR43="","",$AR$5&amp;":"&amp;AR43&amp;";")&amp;IF(AS43="","",$AS$5&amp;":"&amp;AS43&amp;";")&amp;IF(AT43="","",$AT$5&amp;":"&amp;AT43&amp;";")&amp;IF(AU43="","",$AU$5&amp;":"&amp;AU43&amp;";")</f>
        <v>LUC:3,49145707311896;HNK:1,0612331529237;NTD:0,817149527751247;</v>
      </c>
      <c r="M43" s="339">
        <f>3.29/94.23%</f>
        <v>3.4914570731189642</v>
      </c>
      <c r="N43" s="339"/>
      <c r="O43" s="339">
        <f>1/94.23%</f>
        <v>1.0612331529236974</v>
      </c>
      <c r="P43" s="339"/>
      <c r="Q43" s="339"/>
      <c r="R43" s="339"/>
      <c r="S43" s="339"/>
      <c r="T43" s="339"/>
      <c r="U43" s="339"/>
      <c r="V43" s="339"/>
      <c r="W43" s="339"/>
      <c r="X43" s="339"/>
      <c r="Y43" s="339"/>
      <c r="Z43" s="339"/>
      <c r="AA43" s="339"/>
      <c r="AB43" s="339"/>
      <c r="AC43" s="339"/>
      <c r="AD43" s="339"/>
      <c r="AE43" s="339"/>
      <c r="AF43" s="339"/>
      <c r="AG43" s="339"/>
      <c r="AH43" s="339">
        <f>0.77/94.23%</f>
        <v>0.81714952775124694</v>
      </c>
      <c r="AI43" s="339"/>
      <c r="AJ43" s="339"/>
      <c r="AK43" s="339"/>
      <c r="AL43" s="339"/>
      <c r="AM43" s="339"/>
      <c r="AN43" s="339"/>
      <c r="AO43" s="339"/>
      <c r="AP43" s="339"/>
      <c r="AQ43" s="339"/>
      <c r="AR43" s="339"/>
      <c r="AS43" s="339"/>
      <c r="AT43" s="339"/>
      <c r="AU43" s="339"/>
      <c r="AV43" s="351" t="s">
        <v>313</v>
      </c>
      <c r="AW43" s="351" t="s">
        <v>313</v>
      </c>
      <c r="AX43" s="351" t="s">
        <v>314</v>
      </c>
      <c r="AY43" s="260" t="s">
        <v>314</v>
      </c>
      <c r="AZ43" s="181" t="s">
        <v>1019</v>
      </c>
      <c r="BA43" s="235" t="s">
        <v>315</v>
      </c>
      <c r="BB43" s="351"/>
      <c r="BC43" s="371" t="s">
        <v>316</v>
      </c>
      <c r="BD43" s="371"/>
      <c r="BE43" s="371"/>
      <c r="BF43" s="371" t="s">
        <v>263</v>
      </c>
      <c r="BG43" s="371"/>
      <c r="BH43" s="351"/>
    </row>
    <row r="44" spans="1:62" ht="58.5" customHeight="1">
      <c r="A44" s="344">
        <f>SUBTOTAL(3,C$11:$C44)</f>
        <v>23</v>
      </c>
      <c r="B44" s="337" t="s">
        <v>317</v>
      </c>
      <c r="C44" s="338" t="s">
        <v>30</v>
      </c>
      <c r="D44" s="339">
        <v>123.98</v>
      </c>
      <c r="E44" s="339">
        <f>D44-F44</f>
        <v>118.08</v>
      </c>
      <c r="F44" s="339">
        <v>5.9</v>
      </c>
      <c r="G44" s="414">
        <f t="shared" si="3"/>
        <v>5.8970860000000016</v>
      </c>
      <c r="H44" s="413" t="s">
        <v>1016</v>
      </c>
      <c r="I44" s="413" t="s">
        <v>1020</v>
      </c>
      <c r="J44" s="413" t="s">
        <v>1018</v>
      </c>
      <c r="K44" s="413" t="str">
        <f t="shared" si="4"/>
        <v xml:space="preserve">HNK, CLN, NTS, DGT, NTD, ONT, SON, </v>
      </c>
      <c r="L44" s="413" t="str">
        <f t="shared" si="5"/>
        <v>HNK:0,242824;CLN:1,826438;NTS:2,443058;DGT:0,47083;NTD:0,00239;ONT:0,41347;SON:0,498076;</v>
      </c>
      <c r="M44" s="339"/>
      <c r="N44" s="339"/>
      <c r="O44" s="339">
        <f>5.08*4.78%</f>
        <v>0.24282400000000001</v>
      </c>
      <c r="P44" s="339">
        <f>38.21*4.78%</f>
        <v>1.8264380000000002</v>
      </c>
      <c r="Q44" s="339">
        <f>51.11*4.78%</f>
        <v>2.4430580000000002</v>
      </c>
      <c r="R44" s="339"/>
      <c r="S44" s="339"/>
      <c r="T44" s="339"/>
      <c r="U44" s="339"/>
      <c r="V44" s="339"/>
      <c r="W44" s="339">
        <f>9.85*4.78%</f>
        <v>0.47083000000000003</v>
      </c>
      <c r="X44" s="339"/>
      <c r="Y44" s="339"/>
      <c r="Z44" s="339"/>
      <c r="AA44" s="339"/>
      <c r="AB44" s="339"/>
      <c r="AC44" s="339"/>
      <c r="AD44" s="339"/>
      <c r="AE44" s="339"/>
      <c r="AF44" s="339"/>
      <c r="AG44" s="339"/>
      <c r="AH44" s="157">
        <f>0.05*4.78%</f>
        <v>2.3900000000000002E-3</v>
      </c>
      <c r="AI44" s="339"/>
      <c r="AJ44" s="339"/>
      <c r="AK44" s="339"/>
      <c r="AL44" s="339">
        <f>8.65*4.78%</f>
        <v>0.41347000000000006</v>
      </c>
      <c r="AM44" s="339"/>
      <c r="AN44" s="339"/>
      <c r="AO44" s="339"/>
      <c r="AP44" s="339"/>
      <c r="AQ44" s="339">
        <f>10.42*4.78%</f>
        <v>0.49807600000000002</v>
      </c>
      <c r="AR44" s="339"/>
      <c r="AS44" s="339"/>
      <c r="AT44" s="339"/>
      <c r="AU44" s="339"/>
      <c r="AV44" s="338" t="s">
        <v>318</v>
      </c>
      <c r="AW44" s="338" t="s">
        <v>318</v>
      </c>
      <c r="AX44" s="432" t="s">
        <v>319</v>
      </c>
      <c r="AY44" s="433" t="s">
        <v>319</v>
      </c>
      <c r="AZ44" s="434" t="s">
        <v>1021</v>
      </c>
      <c r="BA44" s="432"/>
      <c r="BB44" s="432"/>
      <c r="BC44" s="371" t="s">
        <v>316</v>
      </c>
      <c r="BD44" s="371"/>
      <c r="BE44" s="371"/>
      <c r="BF44" s="371"/>
      <c r="BG44" s="371" t="s">
        <v>263</v>
      </c>
      <c r="BH44" s="432"/>
    </row>
    <row r="45" spans="1:62" ht="58.5" customHeight="1">
      <c r="A45" s="344">
        <f>SUBTOTAL(3,C$11:$C45)</f>
        <v>24</v>
      </c>
      <c r="B45" s="362" t="s">
        <v>320</v>
      </c>
      <c r="C45" s="351" t="s">
        <v>30</v>
      </c>
      <c r="D45" s="351">
        <v>90</v>
      </c>
      <c r="E45" s="351"/>
      <c r="F45" s="351">
        <v>90</v>
      </c>
      <c r="G45" s="414">
        <f t="shared" si="3"/>
        <v>90.000633022499699</v>
      </c>
      <c r="H45" s="413" t="s">
        <v>1022</v>
      </c>
      <c r="I45" s="413" t="s">
        <v>1023</v>
      </c>
      <c r="J45" s="413" t="s">
        <v>1024</v>
      </c>
      <c r="K45" s="413" t="str">
        <f t="shared" si="4"/>
        <v xml:space="preserve">LUK, HNK, CLN, NTS, DGT, ONT, SON, </v>
      </c>
      <c r="L45" s="413" t="str">
        <f t="shared" si="5"/>
        <v>LUK:0,178799489144317;HNK:1,83908045977012;CLN:11,8263090676884;NTS:52,4782830863567;DGT:0,817369093231162;ONT:6,25798212005109;SON:16,602809706258;</v>
      </c>
      <c r="M45" s="351"/>
      <c r="N45" s="351">
        <f>0.07/39.15%</f>
        <v>0.17879948914431676</v>
      </c>
      <c r="O45" s="351">
        <f>0.72/39.15%</f>
        <v>1.8390804597701151</v>
      </c>
      <c r="P45" s="351">
        <f>4.63/39.15%</f>
        <v>11.82630906768838</v>
      </c>
      <c r="Q45" s="351">
        <f>20.54/39.14%</f>
        <v>52.478283086356662</v>
      </c>
      <c r="R45" s="351"/>
      <c r="S45" s="351"/>
      <c r="T45" s="351"/>
      <c r="U45" s="351"/>
      <c r="V45" s="351"/>
      <c r="W45" s="351">
        <f>0.32/39.15%</f>
        <v>0.81736909323116225</v>
      </c>
      <c r="X45" s="351"/>
      <c r="Y45" s="351"/>
      <c r="Z45" s="351"/>
      <c r="AA45" s="351"/>
      <c r="AB45" s="351"/>
      <c r="AC45" s="351"/>
      <c r="AD45" s="351"/>
      <c r="AE45" s="351"/>
      <c r="AF45" s="351"/>
      <c r="AG45" s="351"/>
      <c r="AH45" s="351"/>
      <c r="AI45" s="351"/>
      <c r="AJ45" s="351"/>
      <c r="AK45" s="351"/>
      <c r="AL45" s="351">
        <f>2.45/39.15%</f>
        <v>6.2579821200510866</v>
      </c>
      <c r="AM45" s="351"/>
      <c r="AN45" s="351"/>
      <c r="AO45" s="351"/>
      <c r="AP45" s="351"/>
      <c r="AQ45" s="351">
        <f>6.5/39.15%</f>
        <v>16.602809706257982</v>
      </c>
      <c r="AR45" s="351"/>
      <c r="AS45" s="351"/>
      <c r="AT45" s="351"/>
      <c r="AU45" s="351"/>
      <c r="AV45" s="338" t="s">
        <v>318</v>
      </c>
      <c r="AW45" s="338" t="s">
        <v>318</v>
      </c>
      <c r="AX45" s="351" t="s">
        <v>319</v>
      </c>
      <c r="AY45" s="260" t="s">
        <v>319</v>
      </c>
      <c r="AZ45" s="181" t="s">
        <v>1025</v>
      </c>
      <c r="BA45" s="351"/>
      <c r="BB45" s="351"/>
      <c r="BC45" s="371" t="s">
        <v>316</v>
      </c>
      <c r="BD45" s="371"/>
      <c r="BE45" s="371"/>
      <c r="BF45" s="371" t="s">
        <v>263</v>
      </c>
      <c r="BG45" s="371"/>
      <c r="BH45" s="351"/>
    </row>
    <row r="46" spans="1:62" ht="58.5" customHeight="1">
      <c r="A46" s="344">
        <f>SUBTOTAL(3,C$11:$C46)</f>
        <v>25</v>
      </c>
      <c r="B46" s="362" t="s">
        <v>321</v>
      </c>
      <c r="C46" s="351" t="s">
        <v>30</v>
      </c>
      <c r="D46" s="351">
        <v>654</v>
      </c>
      <c r="E46" s="351"/>
      <c r="F46" s="351">
        <v>654</v>
      </c>
      <c r="G46" s="414">
        <f t="shared" si="3"/>
        <v>654.00000000000011</v>
      </c>
      <c r="H46" s="413" t="s">
        <v>1026</v>
      </c>
      <c r="I46" s="413" t="s">
        <v>1027</v>
      </c>
      <c r="J46" s="413" t="s">
        <v>1028</v>
      </c>
      <c r="K46" s="413" t="str">
        <f t="shared" si="4"/>
        <v xml:space="preserve">LUK, HNK, CLN, NTS, SKC, DGT, DGD, ONT, SON, </v>
      </c>
      <c r="L46" s="413" t="str">
        <f t="shared" si="5"/>
        <v>LUK:85,65;HNK:131,91;CLN:17,15;NTS:346,81;SKC:1,78;DGT:12,15;DGD:0,5;ONT:14,45;SON:43,6;</v>
      </c>
      <c r="M46" s="351"/>
      <c r="N46" s="351">
        <v>85.650000000000048</v>
      </c>
      <c r="O46" s="351">
        <v>131.91</v>
      </c>
      <c r="P46" s="351">
        <v>17.149999999999999</v>
      </c>
      <c r="Q46" s="351">
        <v>346.81</v>
      </c>
      <c r="R46" s="351"/>
      <c r="S46" s="351"/>
      <c r="T46" s="351"/>
      <c r="U46" s="351"/>
      <c r="V46" s="351">
        <v>1.78</v>
      </c>
      <c r="W46" s="351">
        <v>12.15</v>
      </c>
      <c r="X46" s="351"/>
      <c r="Y46" s="351"/>
      <c r="Z46" s="351"/>
      <c r="AA46" s="351">
        <v>0.5</v>
      </c>
      <c r="AB46" s="351"/>
      <c r="AC46" s="351"/>
      <c r="AD46" s="351"/>
      <c r="AE46" s="351"/>
      <c r="AF46" s="351"/>
      <c r="AG46" s="351"/>
      <c r="AH46" s="351"/>
      <c r="AI46" s="351"/>
      <c r="AJ46" s="351"/>
      <c r="AK46" s="351"/>
      <c r="AL46" s="351">
        <v>14.45</v>
      </c>
      <c r="AM46" s="351"/>
      <c r="AN46" s="351"/>
      <c r="AO46" s="351"/>
      <c r="AP46" s="351"/>
      <c r="AQ46" s="351">
        <v>43.6</v>
      </c>
      <c r="AR46" s="351"/>
      <c r="AS46" s="351"/>
      <c r="AT46" s="351"/>
      <c r="AU46" s="351"/>
      <c r="AV46" s="351" t="s">
        <v>266</v>
      </c>
      <c r="AW46" s="351" t="s">
        <v>266</v>
      </c>
      <c r="AX46" s="351" t="s">
        <v>1029</v>
      </c>
      <c r="AY46" s="260" t="s">
        <v>1029</v>
      </c>
      <c r="AZ46" s="181" t="s">
        <v>1030</v>
      </c>
      <c r="BA46" s="351"/>
      <c r="BB46" s="351"/>
      <c r="BC46" s="371" t="s">
        <v>316</v>
      </c>
      <c r="BD46" s="371"/>
      <c r="BE46" s="371"/>
      <c r="BF46" s="371" t="s">
        <v>263</v>
      </c>
      <c r="BG46" s="371"/>
      <c r="BH46" s="351"/>
    </row>
    <row r="47" spans="1:62" ht="58.5" customHeight="1">
      <c r="A47" s="344">
        <f>SUBTOTAL(3,C$11:$C47)</f>
        <v>26</v>
      </c>
      <c r="B47" s="337" t="s">
        <v>322</v>
      </c>
      <c r="C47" s="338" t="s">
        <v>30</v>
      </c>
      <c r="D47" s="339">
        <v>244.74</v>
      </c>
      <c r="E47" s="339">
        <v>84.74</v>
      </c>
      <c r="F47" s="339">
        <v>160</v>
      </c>
      <c r="G47" s="414">
        <f t="shared" si="3"/>
        <v>83.995240616265463</v>
      </c>
      <c r="H47" s="413" t="s">
        <v>1016</v>
      </c>
      <c r="I47" s="413" t="s">
        <v>1031</v>
      </c>
      <c r="J47" s="413" t="s">
        <v>1032</v>
      </c>
      <c r="K47" s="413" t="str">
        <f t="shared" si="4"/>
        <v xml:space="preserve">LUK, HNK, CLN, NTS, DGT, DGD, NTD, ONT, SON, </v>
      </c>
      <c r="L47" s="413" t="str">
        <f t="shared" si="5"/>
        <v>LUK:62,94927;HNK:4,18003300330033;CLN:2,68084308430843;NTS:0,62986798679868;DGT:0,947404740474047;DGD:0,0364386438643864;NTD:0,161371137113711;ONT:11,8998199819982;SON:0,510192038407681;</v>
      </c>
      <c r="M47" s="339"/>
      <c r="N47" s="339">
        <f>120.94*52.05%</f>
        <v>62.949269999999991</v>
      </c>
      <c r="O47" s="339">
        <f>8.03*52.05%/99.99%</f>
        <v>4.1800330033003297</v>
      </c>
      <c r="P47" s="339">
        <f>5.15*52.05%/99.99%</f>
        <v>2.6808430843084312</v>
      </c>
      <c r="Q47" s="339">
        <f>1.21*52.05%/99.99%</f>
        <v>0.62986798679867984</v>
      </c>
      <c r="R47" s="339"/>
      <c r="S47" s="339"/>
      <c r="T47" s="339"/>
      <c r="U47" s="339"/>
      <c r="V47" s="339"/>
      <c r="W47" s="339">
        <f>1.82*52.05%/99.99%</f>
        <v>0.94740474047404744</v>
      </c>
      <c r="X47" s="339"/>
      <c r="Y47" s="339"/>
      <c r="Z47" s="339"/>
      <c r="AA47" s="339">
        <f>0.07*52.05%/99.99%</f>
        <v>3.6438643864386444E-2</v>
      </c>
      <c r="AB47" s="339"/>
      <c r="AC47" s="339"/>
      <c r="AD47" s="339"/>
      <c r="AE47" s="339"/>
      <c r="AF47" s="339"/>
      <c r="AG47" s="339"/>
      <c r="AH47" s="339">
        <f>0.31*52.05%/99.99%</f>
        <v>0.1613711371137114</v>
      </c>
      <c r="AI47" s="339"/>
      <c r="AJ47" s="339"/>
      <c r="AK47" s="339"/>
      <c r="AL47" s="339">
        <f>22.86*52.05%/99.99%</f>
        <v>11.899819981998199</v>
      </c>
      <c r="AM47" s="339"/>
      <c r="AN47" s="339"/>
      <c r="AO47" s="339"/>
      <c r="AP47" s="339"/>
      <c r="AQ47" s="339">
        <f>0.98*52.05%/99.98%</f>
        <v>0.51019203840768146</v>
      </c>
      <c r="AR47" s="339"/>
      <c r="AS47" s="339"/>
      <c r="AT47" s="339"/>
      <c r="AU47" s="339"/>
      <c r="AV47" s="338" t="s">
        <v>266</v>
      </c>
      <c r="AW47" s="338" t="s">
        <v>266</v>
      </c>
      <c r="AX47" s="351" t="s">
        <v>1033</v>
      </c>
      <c r="AY47" s="260" t="s">
        <v>1033</v>
      </c>
      <c r="AZ47" s="181" t="s">
        <v>1034</v>
      </c>
      <c r="BA47" s="351" t="s">
        <v>323</v>
      </c>
      <c r="BB47" s="351"/>
      <c r="BC47" s="371" t="s">
        <v>316</v>
      </c>
      <c r="BD47" s="371"/>
      <c r="BE47" s="371"/>
      <c r="BF47" s="371"/>
      <c r="BG47" s="371" t="s">
        <v>263</v>
      </c>
      <c r="BH47" s="351"/>
    </row>
    <row r="48" spans="1:62" ht="102" customHeight="1">
      <c r="A48" s="344">
        <f>SUBTOTAL(3,C$11:$C48)</f>
        <v>27</v>
      </c>
      <c r="B48" s="363" t="s">
        <v>327</v>
      </c>
      <c r="C48" s="338" t="s">
        <v>30</v>
      </c>
      <c r="D48" s="339">
        <v>108.9</v>
      </c>
      <c r="E48" s="339">
        <v>101.4</v>
      </c>
      <c r="F48" s="339">
        <v>7.5</v>
      </c>
      <c r="G48" s="414">
        <f t="shared" si="3"/>
        <v>7.4999999999999991</v>
      </c>
      <c r="H48" s="413" t="s">
        <v>1035</v>
      </c>
      <c r="I48" s="413" t="s">
        <v>1036</v>
      </c>
      <c r="J48" s="413" t="s">
        <v>1037</v>
      </c>
      <c r="K48" s="413" t="str">
        <f t="shared" si="4"/>
        <v xml:space="preserve">LUC, HNK, CLN, DGT, ONT, </v>
      </c>
      <c r="L48" s="413" t="str">
        <f t="shared" si="5"/>
        <v>LUC:0,39;HNK:4,28;CLN:2,8;DGT:0,02;ONT:0,01;</v>
      </c>
      <c r="M48" s="339">
        <v>0.39</v>
      </c>
      <c r="N48" s="339"/>
      <c r="O48" s="339">
        <v>4.28</v>
      </c>
      <c r="P48" s="339">
        <v>2.8</v>
      </c>
      <c r="Q48" s="339"/>
      <c r="R48" s="339"/>
      <c r="S48" s="339"/>
      <c r="T48" s="339"/>
      <c r="U48" s="339"/>
      <c r="V48" s="339"/>
      <c r="W48" s="339">
        <v>0.02</v>
      </c>
      <c r="X48" s="339"/>
      <c r="Y48" s="339"/>
      <c r="Z48" s="339"/>
      <c r="AA48" s="339"/>
      <c r="AB48" s="339"/>
      <c r="AC48" s="339"/>
      <c r="AD48" s="339"/>
      <c r="AE48" s="339"/>
      <c r="AF48" s="339"/>
      <c r="AG48" s="339"/>
      <c r="AH48" s="339"/>
      <c r="AI48" s="339"/>
      <c r="AJ48" s="339"/>
      <c r="AK48" s="339"/>
      <c r="AL48" s="339">
        <v>0.01</v>
      </c>
      <c r="AM48" s="339"/>
      <c r="AN48" s="339"/>
      <c r="AO48" s="339"/>
      <c r="AP48" s="339"/>
      <c r="AQ48" s="339"/>
      <c r="AR48" s="339"/>
      <c r="AS48" s="339"/>
      <c r="AT48" s="339"/>
      <c r="AU48" s="339"/>
      <c r="AV48" s="338" t="s">
        <v>266</v>
      </c>
      <c r="AW48" s="338" t="s">
        <v>266</v>
      </c>
      <c r="AX48" s="351" t="s">
        <v>325</v>
      </c>
      <c r="AY48" s="260" t="s">
        <v>325</v>
      </c>
      <c r="AZ48" s="181" t="s">
        <v>1038</v>
      </c>
      <c r="BA48" s="351"/>
      <c r="BB48" s="351" t="s">
        <v>328</v>
      </c>
      <c r="BC48" s="371"/>
      <c r="BD48" s="371"/>
      <c r="BE48" s="371"/>
      <c r="BF48" s="371"/>
      <c r="BG48" s="371"/>
      <c r="BH48" s="351"/>
    </row>
    <row r="49" spans="1:62" ht="39" customHeight="1">
      <c r="A49" s="603">
        <f>SUBTOTAL(3,C$11:$C49)</f>
        <v>28</v>
      </c>
      <c r="B49" s="604" t="s">
        <v>324</v>
      </c>
      <c r="C49" s="605" t="s">
        <v>30</v>
      </c>
      <c r="D49" s="605">
        <v>288</v>
      </c>
      <c r="E49" s="605"/>
      <c r="F49" s="605">
        <v>288</v>
      </c>
      <c r="G49" s="414">
        <f t="shared" si="3"/>
        <v>95.97999999999999</v>
      </c>
      <c r="H49" s="606" t="s">
        <v>1026</v>
      </c>
      <c r="I49" s="413" t="s">
        <v>1039</v>
      </c>
      <c r="J49" s="606" t="s">
        <v>1028</v>
      </c>
      <c r="K49" s="413" t="str">
        <f t="shared" si="4"/>
        <v xml:space="preserve">LUK, HNK, CLN, NTS, NTD, SON, </v>
      </c>
      <c r="L49" s="413" t="str">
        <f t="shared" si="5"/>
        <v>LUK:10;HNK:5;CLN:5,96;NTS:66,02;NTD:0,03;SON:8,97;</v>
      </c>
      <c r="M49" s="351"/>
      <c r="N49" s="351">
        <v>10</v>
      </c>
      <c r="O49" s="351">
        <v>5</v>
      </c>
      <c r="P49" s="351">
        <v>5.96</v>
      </c>
      <c r="Q49" s="351">
        <v>66.02</v>
      </c>
      <c r="R49" s="351"/>
      <c r="S49" s="351"/>
      <c r="T49" s="351"/>
      <c r="U49" s="351"/>
      <c r="V49" s="351"/>
      <c r="W49" s="351"/>
      <c r="X49" s="351"/>
      <c r="Y49" s="351"/>
      <c r="Z49" s="351"/>
      <c r="AA49" s="351"/>
      <c r="AB49" s="351"/>
      <c r="AC49" s="351"/>
      <c r="AD49" s="351"/>
      <c r="AE49" s="351"/>
      <c r="AF49" s="351"/>
      <c r="AG49" s="351"/>
      <c r="AH49" s="351">
        <v>0.03</v>
      </c>
      <c r="AI49" s="351"/>
      <c r="AJ49" s="351"/>
      <c r="AK49" s="351"/>
      <c r="AL49" s="351"/>
      <c r="AM49" s="351"/>
      <c r="AN49" s="351"/>
      <c r="AO49" s="351"/>
      <c r="AP49" s="351"/>
      <c r="AQ49" s="351">
        <v>8.9700000000000006</v>
      </c>
      <c r="AR49" s="351"/>
      <c r="AS49" s="351"/>
      <c r="AT49" s="351"/>
      <c r="AU49" s="351"/>
      <c r="AV49" s="605" t="s">
        <v>1040</v>
      </c>
      <c r="AW49" s="605" t="s">
        <v>1040</v>
      </c>
      <c r="AX49" s="605" t="s">
        <v>1698</v>
      </c>
      <c r="AY49" s="260" t="s">
        <v>1041</v>
      </c>
      <c r="AZ49" s="181" t="s">
        <v>1042</v>
      </c>
      <c r="BA49" s="351" t="s">
        <v>326</v>
      </c>
      <c r="BB49" s="605"/>
      <c r="BC49" s="371" t="s">
        <v>316</v>
      </c>
      <c r="BD49" s="371"/>
      <c r="BE49" s="371"/>
      <c r="BF49" s="371" t="s">
        <v>263</v>
      </c>
      <c r="BG49" s="371"/>
      <c r="BH49" s="351"/>
    </row>
    <row r="50" spans="1:62" ht="39" customHeight="1">
      <c r="A50" s="603"/>
      <c r="B50" s="604"/>
      <c r="C50" s="605"/>
      <c r="D50" s="605"/>
      <c r="E50" s="605"/>
      <c r="F50" s="605"/>
      <c r="G50" s="414">
        <f t="shared" si="3"/>
        <v>161.53</v>
      </c>
      <c r="H50" s="606"/>
      <c r="I50" s="413" t="s">
        <v>1043</v>
      </c>
      <c r="J50" s="606"/>
      <c r="K50" s="413" t="str">
        <f t="shared" si="4"/>
        <v xml:space="preserve">LUK, HNK, CLN, NTS, </v>
      </c>
      <c r="L50" s="413" t="str">
        <f t="shared" si="5"/>
        <v>LUK:1;HNK:30;CLN:10,53;NTS:120;</v>
      </c>
      <c r="M50" s="351"/>
      <c r="N50" s="351">
        <v>1</v>
      </c>
      <c r="O50" s="351">
        <v>30</v>
      </c>
      <c r="P50" s="351">
        <v>10.53</v>
      </c>
      <c r="Q50" s="351">
        <v>120</v>
      </c>
      <c r="R50" s="351"/>
      <c r="S50" s="351"/>
      <c r="T50" s="351"/>
      <c r="U50" s="351"/>
      <c r="V50" s="351"/>
      <c r="W50" s="351"/>
      <c r="X50" s="351"/>
      <c r="Y50" s="351"/>
      <c r="Z50" s="351"/>
      <c r="AA50" s="351"/>
      <c r="AB50" s="351"/>
      <c r="AC50" s="351"/>
      <c r="AD50" s="351"/>
      <c r="AE50" s="351"/>
      <c r="AF50" s="351"/>
      <c r="AG50" s="351"/>
      <c r="AH50" s="351"/>
      <c r="AI50" s="351"/>
      <c r="AJ50" s="351"/>
      <c r="AK50" s="351"/>
      <c r="AL50" s="351"/>
      <c r="AM50" s="351"/>
      <c r="AN50" s="351"/>
      <c r="AO50" s="351"/>
      <c r="AP50" s="351"/>
      <c r="AQ50" s="351"/>
      <c r="AR50" s="351"/>
      <c r="AS50" s="351"/>
      <c r="AT50" s="351"/>
      <c r="AU50" s="351"/>
      <c r="AV50" s="605"/>
      <c r="AW50" s="605"/>
      <c r="AX50" s="605"/>
      <c r="AY50" s="260" t="s">
        <v>1044</v>
      </c>
      <c r="AZ50" s="181"/>
      <c r="BA50" s="351"/>
      <c r="BB50" s="605"/>
      <c r="BC50" s="371" t="s">
        <v>316</v>
      </c>
      <c r="BD50" s="371"/>
      <c r="BE50" s="371"/>
      <c r="BF50" s="371" t="s">
        <v>263</v>
      </c>
      <c r="BG50" s="371"/>
      <c r="BH50" s="351"/>
    </row>
    <row r="51" spans="1:62" s="190" customFormat="1" ht="29.25" customHeight="1">
      <c r="A51" s="151" t="s">
        <v>78</v>
      </c>
      <c r="B51" s="159" t="s">
        <v>1707</v>
      </c>
      <c r="C51" s="158"/>
      <c r="D51" s="147"/>
      <c r="E51" s="147"/>
      <c r="F51" s="189"/>
      <c r="G51" s="438"/>
      <c r="H51" s="439"/>
      <c r="I51" s="439"/>
      <c r="J51" s="439"/>
      <c r="K51" s="439"/>
      <c r="L51" s="439"/>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58"/>
      <c r="AW51" s="158"/>
      <c r="AX51" s="372"/>
      <c r="AY51" s="261"/>
      <c r="AZ51" s="195"/>
      <c r="BA51" s="254"/>
      <c r="BB51" s="372"/>
      <c r="BC51" s="371"/>
      <c r="BD51" s="371"/>
      <c r="BE51" s="371"/>
      <c r="BF51" s="371"/>
      <c r="BG51" s="371"/>
      <c r="BH51" s="372"/>
      <c r="BI51" s="409"/>
      <c r="BJ51" s="440"/>
    </row>
    <row r="52" spans="1:62" s="190" customFormat="1" ht="45" customHeight="1">
      <c r="A52" s="151" t="s">
        <v>23</v>
      </c>
      <c r="B52" s="159" t="s">
        <v>1716</v>
      </c>
      <c r="C52" s="158"/>
      <c r="D52" s="147"/>
      <c r="E52" s="147"/>
      <c r="F52" s="189"/>
      <c r="G52" s="438"/>
      <c r="H52" s="439"/>
      <c r="I52" s="439"/>
      <c r="J52" s="439"/>
      <c r="K52" s="439"/>
      <c r="L52" s="439"/>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58"/>
      <c r="AW52" s="158"/>
      <c r="AX52" s="372"/>
      <c r="AY52" s="261"/>
      <c r="AZ52" s="195"/>
      <c r="BA52" s="254"/>
      <c r="BB52" s="372"/>
      <c r="BC52" s="371"/>
      <c r="BD52" s="371"/>
      <c r="BE52" s="371"/>
      <c r="BF52" s="371"/>
      <c r="BG52" s="371"/>
      <c r="BH52" s="372"/>
      <c r="BI52" s="409"/>
      <c r="BJ52" s="440"/>
    </row>
    <row r="53" spans="1:62" ht="25" customHeight="1">
      <c r="A53" s="151" t="s">
        <v>1717</v>
      </c>
      <c r="B53" s="154" t="s">
        <v>86</v>
      </c>
      <c r="C53" s="155"/>
      <c r="D53" s="351"/>
      <c r="E53" s="351"/>
      <c r="F53" s="351"/>
      <c r="G53" s="414"/>
      <c r="H53" s="413"/>
      <c r="I53" s="413"/>
      <c r="J53" s="413"/>
      <c r="K53" s="413" t="str">
        <f>IF(M53&lt;&gt;0,$M$5&amp;", ","")&amp;IF(N53&lt;&gt;0,$N$5&amp;", ","")&amp;IF(O53&lt;&gt;0,O$5&amp;", ","")&amp;IF(P53&lt;&gt;0,P$5&amp;", ","")&amp;IF(Q53&lt;&gt;0,Q$5&amp;", ","")&amp;IF(R53&lt;&gt;0,R$5&amp;", ","")&amp;IF(S53&lt;&gt;0,S$5&amp;", ","")&amp;IF(T53&lt;&gt;0,T$5&amp;", ","")&amp;IF(U53&lt;&gt;0,U$5&amp;", ","")&amp;IF(V53&lt;&gt;0,V$5&amp;", ","")&amp;IF(W53&lt;&gt;0,W$5&amp;", ","")&amp;IF(X53&lt;&gt;0,X$5&amp;", ","")&amp;IF(Y53&lt;&gt;0,Y$5&amp;", ","")&amp;IF(Z53&lt;&gt;0,Z$5&amp;", ","")&amp;IF(AA53&lt;&gt;0,AA$5&amp;", ","")&amp;IF(AB53&lt;&gt;0,AB$5&amp;", ","")&amp;IF(AC53&lt;&gt;0,AC$5&amp;", ","")&amp;IF(AD53&lt;&gt;0,AD$5&amp;", ","")&amp;IF(AE53&lt;&gt;0,AE$5&amp;", ","")&amp;IF(AF53&lt;&gt;0,AF$5&amp;", ","")&amp;IF(AG53&lt;&gt;0,AG$5&amp;", ","")&amp;IF(AH53&lt;&gt;0,AH$5&amp;", ","")&amp;IF(AI53&lt;&gt;0,AI$5&amp;", ","")&amp;IF(AJ53&lt;&gt;0,AJ$5&amp;", ","")&amp;IF(AK53&lt;&gt;0,AK$5&amp;", ","")&amp;IF(AL53&lt;&gt;0,AL$5&amp;", ","")&amp;IF(AM53&lt;&gt;0,AM$5&amp;", ","")&amp;IF(AN53&lt;&gt;0,AN$5&amp;", ","")&amp;IF(AO53&lt;&gt;0,AO$5&amp;", ","")&amp;IF(AP53&lt;&gt;0,AP$5&amp;", ","")&amp;IF(AQ53&lt;&gt;0,AQ$5&amp;", ","")&amp;IF(AR53&lt;&gt;0,AR$5,"")&amp;IF(AS53&lt;&gt;0,AS$5,"")&amp;IF(AT53&lt;&gt;0,AT$5,"")&amp;IF(AU53&lt;&gt;0,AU$5,"")</f>
        <v/>
      </c>
      <c r="L53" s="413" t="str">
        <f t="shared" ref="L53" si="6">IF(M53="","",$M$5&amp;":"&amp;M53&amp;";")&amp;IF(N53="","",$N$5&amp;":"&amp;N53&amp;";")&amp;IF(O53="","",$O$5&amp;":"&amp;O53&amp;";")&amp;IF(P53="","",$P$5&amp;":"&amp;P53&amp;";")&amp;IF(Q53="","",$Q$5&amp;":"&amp;Q53&amp;";")&amp;IF(R53="","",$R$5&amp;":"&amp;R53&amp;";")&amp;IF(S53="","",$S$5&amp;":"&amp;S53&amp;";")&amp;IF(T53="","",$T$5&amp;":"&amp;T53&amp;";")&amp;IF(U53="","",$U$5&amp;":"&amp;U53&amp;";")&amp;IF(V53="","",$V$5&amp;":"&amp;V53&amp;";")&amp;IF(W53="","",$W$5&amp;":"&amp;W53&amp;";")&amp;IF(X53="","",$X$5&amp;":"&amp;X53&amp;";")&amp;IF(Y53="","",$Y$5&amp;":"&amp;Y53&amp;";")&amp;IF(Z53="","",$Z$5&amp;":"&amp;Z53&amp;";")&amp;IF(AA53="","",$AA$5&amp;":"&amp;AA53&amp;";")&amp;IF(AB53="","",$AB$5&amp;":"&amp;AB53&amp;";")&amp;IF(AC53="","",$AC$5&amp;":"&amp;AC53&amp;";")&amp;IF(AD53="","",$AD$5&amp;":"&amp;AD53&amp;";")&amp;IF(AE53="","",$AE$5&amp;":"&amp;AE53&amp;";")&amp;IF(AF53="","",$AF$5&amp;":"&amp;AF53&amp;";")&amp;IF(AG53="","",$AG$5&amp;":"&amp;AG53&amp;";")&amp;IF(AH53="","",$AH$5&amp;":"&amp;AH53&amp;";")&amp;IF(AI53="","",$AI$5&amp;":"&amp;AI53&amp;";")&amp;IF(AJ53="","",$AJ$5&amp;":"&amp;AJ53&amp;";")&amp;IF(AK53="","",$AK$5&amp;":"&amp;AK53&amp;";")&amp;IF(AL53="","",$AL$5&amp;":"&amp;AL53&amp;";")&amp;IF(AM53="","",$AM$5&amp;":"&amp;AM53&amp;";")&amp;IF(AN53="","",$AN$5&amp;":"&amp;AN53&amp;";")&amp;IF(AO53="","",$AO$5&amp;":"&amp;AO53&amp;";")&amp;IF(AP53="","",$AP$5&amp;":"&amp;AP53&amp;";")&amp;IF(AQ53="","",$AQ$5&amp;":"&amp;AQ53&amp;";")&amp;IF(AR53="","",$AR$5&amp;":"&amp;AR53&amp;";")&amp;IF(AS53="","",$AS$5&amp;":"&amp;AS53&amp;";")&amp;IF(AT53="","",$AT$5&amp;":"&amp;AT53&amp;";")&amp;IF(AU53="","",$AU$5&amp;":"&amp;AU53&amp;";")</f>
        <v/>
      </c>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c r="AJ53" s="351"/>
      <c r="AK53" s="351"/>
      <c r="AL53" s="351"/>
      <c r="AM53" s="351"/>
      <c r="AN53" s="351"/>
      <c r="AO53" s="351"/>
      <c r="AP53" s="351"/>
      <c r="AQ53" s="351"/>
      <c r="AR53" s="351"/>
      <c r="AS53" s="351"/>
      <c r="AT53" s="351"/>
      <c r="AU53" s="351"/>
      <c r="AV53" s="351"/>
      <c r="AW53" s="351"/>
      <c r="AX53" s="351"/>
      <c r="AY53" s="260"/>
      <c r="AZ53" s="181"/>
      <c r="BA53" s="351"/>
      <c r="BB53" s="351"/>
      <c r="BC53" s="156"/>
      <c r="BD53" s="156"/>
      <c r="BE53" s="156"/>
      <c r="BF53" s="156"/>
      <c r="BG53" s="156"/>
      <c r="BH53" s="351"/>
    </row>
    <row r="54" spans="1:62" s="179" customFormat="1" ht="24.65" customHeight="1">
      <c r="A54" s="145"/>
      <c r="B54" s="163" t="s">
        <v>1757</v>
      </c>
      <c r="C54" s="164"/>
      <c r="D54" s="368"/>
      <c r="E54" s="368"/>
      <c r="F54" s="368"/>
      <c r="G54" s="410"/>
      <c r="H54" s="411"/>
      <c r="I54" s="411"/>
      <c r="J54" s="411"/>
      <c r="K54" s="411"/>
      <c r="L54" s="411"/>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257"/>
      <c r="AZ54" s="178"/>
      <c r="BA54" s="368"/>
      <c r="BB54" s="368"/>
      <c r="BC54" s="165"/>
      <c r="BD54" s="165"/>
      <c r="BE54" s="165"/>
      <c r="BF54" s="165"/>
      <c r="BG54" s="165"/>
      <c r="BH54" s="368"/>
      <c r="BI54" s="412"/>
      <c r="BJ54" s="412"/>
    </row>
    <row r="55" spans="1:62" ht="42" customHeight="1">
      <c r="A55" s="344">
        <f>SUBTOTAL(3,C$11:$C55)</f>
        <v>29</v>
      </c>
      <c r="B55" s="362" t="s">
        <v>329</v>
      </c>
      <c r="C55" s="351" t="s">
        <v>87</v>
      </c>
      <c r="D55" s="351">
        <v>49</v>
      </c>
      <c r="E55" s="351"/>
      <c r="F55" s="351">
        <v>49</v>
      </c>
      <c r="G55" s="414">
        <f t="shared" ref="G55:G63" si="7">SUM(M55:AR55)</f>
        <v>49</v>
      </c>
      <c r="H55" s="413" t="s">
        <v>1045</v>
      </c>
      <c r="I55" s="413" t="s">
        <v>1046</v>
      </c>
      <c r="J55" s="413"/>
      <c r="K55" s="413" t="str">
        <f t="shared" ref="K55:K64" si="8">IF(M55&lt;&gt;0,$M$5&amp;", ","")&amp;IF(N55&lt;&gt;0,$N$5&amp;", ","")&amp;IF(O55&lt;&gt;0,O$5&amp;", ","")&amp;IF(P55&lt;&gt;0,P$5&amp;", ","")&amp;IF(Q55&lt;&gt;0,Q$5&amp;", ","")&amp;IF(R55&lt;&gt;0,R$5&amp;", ","")&amp;IF(S55&lt;&gt;0,S$5&amp;", ","")&amp;IF(T55&lt;&gt;0,T$5&amp;", ","")&amp;IF(U55&lt;&gt;0,U$5&amp;", ","")&amp;IF(V55&lt;&gt;0,V$5&amp;", ","")&amp;IF(W55&lt;&gt;0,W$5&amp;", ","")&amp;IF(X55&lt;&gt;0,X$5&amp;", ","")&amp;IF(Y55&lt;&gt;0,Y$5&amp;", ","")&amp;IF(Z55&lt;&gt;0,Z$5&amp;", ","")&amp;IF(AA55&lt;&gt;0,AA$5&amp;", ","")&amp;IF(AB55&lt;&gt;0,AB$5&amp;", ","")&amp;IF(AC55&lt;&gt;0,AC$5&amp;", ","")&amp;IF(AD55&lt;&gt;0,AD$5&amp;", ","")&amp;IF(AE55&lt;&gt;0,AE$5&amp;", ","")&amp;IF(AF55&lt;&gt;0,AF$5&amp;", ","")&amp;IF(AG55&lt;&gt;0,AG$5&amp;", ","")&amp;IF(AH55&lt;&gt;0,AH$5&amp;", ","")&amp;IF(AI55&lt;&gt;0,AI$5&amp;", ","")&amp;IF(AJ55&lt;&gt;0,AJ$5&amp;", ","")&amp;IF(AK55&lt;&gt;0,AK$5&amp;", ","")&amp;IF(AL55&lt;&gt;0,AL$5&amp;", ","")&amp;IF(AM55&lt;&gt;0,AM$5&amp;", ","")&amp;IF(AN55&lt;&gt;0,AN$5&amp;", ","")&amp;IF(AO55&lt;&gt;0,AO$5&amp;", ","")&amp;IF(AP55&lt;&gt;0,AP$5&amp;", ","")&amp;IF(AQ55&lt;&gt;0,AQ$5&amp;", ","")&amp;IF(AR55&lt;&gt;0,AR$5,"")&amp;IF(AS55&lt;&gt;0,AS$5,"")&amp;IF(AT55&lt;&gt;0,AT$5,"")&amp;IF(AU55&lt;&gt;0,AU$5,"")</f>
        <v xml:space="preserve">LUC, HNK, CLN, DGT, NTD, ONT, </v>
      </c>
      <c r="L55" s="413" t="str">
        <f t="shared" ref="L55:L64" si="9">IF(M55="","",$M$5&amp;":"&amp;M55&amp;";")&amp;IF(N55="","",$N$5&amp;":"&amp;N55&amp;";")&amp;IF(O55="","",$O$5&amp;":"&amp;O55&amp;";")&amp;IF(P55="","",$P$5&amp;":"&amp;P55&amp;";")&amp;IF(Q55="","",$Q$5&amp;":"&amp;Q55&amp;";")&amp;IF(R55="","",$R$5&amp;":"&amp;R55&amp;";")&amp;IF(S55="","",$S$5&amp;":"&amp;S55&amp;";")&amp;IF(T55="","",$T$5&amp;":"&amp;T55&amp;";")&amp;IF(U55="","",$U$5&amp;":"&amp;U55&amp;";")&amp;IF(V55="","",$V$5&amp;":"&amp;V55&amp;";")&amp;IF(W55="","",$W$5&amp;":"&amp;W55&amp;";")&amp;IF(X55="","",$X$5&amp;":"&amp;X55&amp;";")&amp;IF(Y55="","",$Y$5&amp;":"&amp;Y55&amp;";")&amp;IF(Z55="","",$Z$5&amp;":"&amp;Z55&amp;";")&amp;IF(AA55="","",$AA$5&amp;":"&amp;AA55&amp;";")&amp;IF(AB55="","",$AB$5&amp;":"&amp;AB55&amp;";")&amp;IF(AC55="","",$AC$5&amp;":"&amp;AC55&amp;";")&amp;IF(AD55="","",$AD$5&amp;":"&amp;AD55&amp;";")&amp;IF(AE55="","",$AE$5&amp;":"&amp;AE55&amp;";")&amp;IF(AF55="","",$AF$5&amp;":"&amp;AF55&amp;";")&amp;IF(AG55="","",$AG$5&amp;":"&amp;AG55&amp;";")&amp;IF(AH55="","",$AH$5&amp;":"&amp;AH55&amp;";")&amp;IF(AI55="","",$AI$5&amp;":"&amp;AI55&amp;";")&amp;IF(AJ55="","",$AJ$5&amp;":"&amp;AJ55&amp;";")&amp;IF(AK55="","",$AK$5&amp;":"&amp;AK55&amp;";")&amp;IF(AL55="","",$AL$5&amp;":"&amp;AL55&amp;";")&amp;IF(AM55="","",$AM$5&amp;":"&amp;AM55&amp;";")&amp;IF(AN55="","",$AN$5&amp;":"&amp;AN55&amp;";")&amp;IF(AO55="","",$AO$5&amp;":"&amp;AO55&amp;";")&amp;IF(AP55="","",$AP$5&amp;":"&amp;AP55&amp;";")&amp;IF(AQ55="","",$AQ$5&amp;":"&amp;AQ55&amp;";")&amp;IF(AR55="","",$AR$5&amp;":"&amp;AR55&amp;";")&amp;IF(AS55="","",$AS$5&amp;":"&amp;AS55&amp;";")&amp;IF(AT55="","",$AT$5&amp;":"&amp;AT55&amp;";")&amp;IF(AU55="","",$AU$5&amp;":"&amp;AU55&amp;";")</f>
        <v>LUC:40,38;HNK:4,94;CLN:2,25;DGT:0,97;NTD:0,06;ONT:0,4;</v>
      </c>
      <c r="M55" s="351">
        <v>40.380000000000003</v>
      </c>
      <c r="N55" s="351"/>
      <c r="O55" s="351">
        <v>4.9400000000000004</v>
      </c>
      <c r="P55" s="351">
        <v>2.2499999999999969</v>
      </c>
      <c r="Q55" s="351"/>
      <c r="R55" s="351"/>
      <c r="S55" s="351"/>
      <c r="T55" s="351"/>
      <c r="U55" s="351"/>
      <c r="V55" s="351"/>
      <c r="W55" s="351">
        <v>0.97</v>
      </c>
      <c r="X55" s="351"/>
      <c r="Y55" s="351"/>
      <c r="Z55" s="351"/>
      <c r="AA55" s="351"/>
      <c r="AB55" s="351"/>
      <c r="AC55" s="351"/>
      <c r="AD55" s="351"/>
      <c r="AE55" s="351"/>
      <c r="AF55" s="351"/>
      <c r="AG55" s="351"/>
      <c r="AH55" s="351">
        <v>0.06</v>
      </c>
      <c r="AI55" s="351"/>
      <c r="AJ55" s="351"/>
      <c r="AK55" s="351"/>
      <c r="AL55" s="351">
        <v>0.4</v>
      </c>
      <c r="AM55" s="351"/>
      <c r="AN55" s="351"/>
      <c r="AO55" s="351"/>
      <c r="AP55" s="351"/>
      <c r="AQ55" s="351"/>
      <c r="AR55" s="351"/>
      <c r="AS55" s="351"/>
      <c r="AT55" s="351"/>
      <c r="AU55" s="351"/>
      <c r="AV55" s="351" t="s">
        <v>258</v>
      </c>
      <c r="AW55" s="351" t="s">
        <v>258</v>
      </c>
      <c r="AX55" s="351" t="s">
        <v>330</v>
      </c>
      <c r="AY55" s="260" t="s">
        <v>330</v>
      </c>
      <c r="AZ55" s="181" t="s">
        <v>1047</v>
      </c>
      <c r="BA55" s="351"/>
      <c r="BB55" s="351"/>
      <c r="BC55" s="371" t="s">
        <v>316</v>
      </c>
      <c r="BD55" s="371"/>
      <c r="BE55" s="371"/>
      <c r="BF55" s="371"/>
      <c r="BG55" s="371" t="s">
        <v>263</v>
      </c>
      <c r="BH55" s="351"/>
    </row>
    <row r="56" spans="1:62" ht="91.25" customHeight="1">
      <c r="A56" s="344">
        <f>SUBTOTAL(3,C$11:$C56)</f>
        <v>30</v>
      </c>
      <c r="B56" s="362" t="s">
        <v>331</v>
      </c>
      <c r="C56" s="351" t="s">
        <v>87</v>
      </c>
      <c r="D56" s="351">
        <v>43</v>
      </c>
      <c r="E56" s="351"/>
      <c r="F56" s="351">
        <v>43</v>
      </c>
      <c r="G56" s="414">
        <f t="shared" si="7"/>
        <v>43</v>
      </c>
      <c r="H56" s="413" t="s">
        <v>1045</v>
      </c>
      <c r="I56" s="413" t="s">
        <v>1048</v>
      </c>
      <c r="J56" s="413"/>
      <c r="K56" s="413" t="str">
        <f t="shared" si="8"/>
        <v xml:space="preserve">LUC, HNK, CLN, NTS, NTD, ONT, </v>
      </c>
      <c r="L56" s="413" t="str">
        <f t="shared" si="9"/>
        <v>LUC:34,56;HNK:1,26;CLN:1,38;NTS:0,04;NTD:0,04;ONT:5,72;</v>
      </c>
      <c r="M56" s="351">
        <v>34.56</v>
      </c>
      <c r="N56" s="351"/>
      <c r="O56" s="351">
        <v>1.26</v>
      </c>
      <c r="P56" s="351">
        <v>1.38</v>
      </c>
      <c r="Q56" s="351">
        <v>0.04</v>
      </c>
      <c r="R56" s="351"/>
      <c r="S56" s="351"/>
      <c r="T56" s="351"/>
      <c r="U56" s="351"/>
      <c r="V56" s="351"/>
      <c r="W56" s="351"/>
      <c r="X56" s="351"/>
      <c r="Y56" s="351"/>
      <c r="Z56" s="351"/>
      <c r="AA56" s="351"/>
      <c r="AB56" s="351"/>
      <c r="AC56" s="351"/>
      <c r="AD56" s="351"/>
      <c r="AE56" s="351"/>
      <c r="AF56" s="351"/>
      <c r="AG56" s="351"/>
      <c r="AH56" s="351">
        <v>0.04</v>
      </c>
      <c r="AI56" s="351"/>
      <c r="AJ56" s="351"/>
      <c r="AK56" s="351"/>
      <c r="AL56" s="351">
        <v>5.72</v>
      </c>
      <c r="AM56" s="351"/>
      <c r="AN56" s="351"/>
      <c r="AO56" s="351"/>
      <c r="AP56" s="351"/>
      <c r="AQ56" s="351"/>
      <c r="AR56" s="351"/>
      <c r="AS56" s="351"/>
      <c r="AT56" s="351"/>
      <c r="AU56" s="351"/>
      <c r="AV56" s="351" t="s">
        <v>258</v>
      </c>
      <c r="AW56" s="351" t="s">
        <v>258</v>
      </c>
      <c r="AX56" s="351" t="s">
        <v>332</v>
      </c>
      <c r="AY56" s="260" t="s">
        <v>332</v>
      </c>
      <c r="AZ56" s="181" t="s">
        <v>1049</v>
      </c>
      <c r="BA56" s="351"/>
      <c r="BB56" s="351" t="s">
        <v>333</v>
      </c>
      <c r="BC56" s="371" t="s">
        <v>316</v>
      </c>
      <c r="BD56" s="371"/>
      <c r="BE56" s="371"/>
      <c r="BF56" s="371"/>
      <c r="BG56" s="371" t="s">
        <v>263</v>
      </c>
      <c r="BH56" s="351"/>
    </row>
    <row r="57" spans="1:62" ht="91.25" customHeight="1">
      <c r="A57" s="344">
        <f>SUBTOTAL(3,C$11:$C57)</f>
        <v>31</v>
      </c>
      <c r="B57" s="362" t="s">
        <v>334</v>
      </c>
      <c r="C57" s="351" t="s">
        <v>87</v>
      </c>
      <c r="D57" s="351">
        <v>50</v>
      </c>
      <c r="E57" s="351"/>
      <c r="F57" s="351">
        <v>50</v>
      </c>
      <c r="G57" s="414">
        <f t="shared" si="7"/>
        <v>49.999999999999993</v>
      </c>
      <c r="H57" s="413" t="s">
        <v>1045</v>
      </c>
      <c r="I57" s="413" t="s">
        <v>1050</v>
      </c>
      <c r="J57" s="413" t="s">
        <v>1018</v>
      </c>
      <c r="K57" s="413" t="str">
        <f t="shared" si="8"/>
        <v xml:space="preserve">LUC, HNK, CLN, ONT, </v>
      </c>
      <c r="L57" s="413" t="str">
        <f t="shared" si="9"/>
        <v>LUC:38,26;HNK:0,84;CLN:5;ONT:5,9;</v>
      </c>
      <c r="M57" s="351">
        <v>38.26</v>
      </c>
      <c r="N57" s="351"/>
      <c r="O57" s="351">
        <v>0.83999999999999986</v>
      </c>
      <c r="P57" s="351">
        <v>5</v>
      </c>
      <c r="Q57" s="351"/>
      <c r="R57" s="351"/>
      <c r="S57" s="351"/>
      <c r="T57" s="351"/>
      <c r="U57" s="351"/>
      <c r="V57" s="351"/>
      <c r="W57" s="351"/>
      <c r="X57" s="351"/>
      <c r="Y57" s="351"/>
      <c r="Z57" s="351"/>
      <c r="AA57" s="351"/>
      <c r="AB57" s="351"/>
      <c r="AC57" s="351"/>
      <c r="AD57" s="351"/>
      <c r="AE57" s="351"/>
      <c r="AF57" s="351"/>
      <c r="AG57" s="351"/>
      <c r="AH57" s="351"/>
      <c r="AI57" s="351"/>
      <c r="AJ57" s="351"/>
      <c r="AK57" s="351"/>
      <c r="AL57" s="351">
        <v>5.9</v>
      </c>
      <c r="AM57" s="351"/>
      <c r="AN57" s="351"/>
      <c r="AO57" s="351"/>
      <c r="AP57" s="351"/>
      <c r="AQ57" s="351"/>
      <c r="AR57" s="351"/>
      <c r="AS57" s="351"/>
      <c r="AT57" s="351"/>
      <c r="AU57" s="351"/>
      <c r="AV57" s="338" t="s">
        <v>277</v>
      </c>
      <c r="AW57" s="338" t="s">
        <v>277</v>
      </c>
      <c r="AX57" s="351" t="s">
        <v>335</v>
      </c>
      <c r="AY57" s="260" t="s">
        <v>335</v>
      </c>
      <c r="AZ57" s="181" t="s">
        <v>1051</v>
      </c>
      <c r="BA57" s="351" t="s">
        <v>326</v>
      </c>
      <c r="BB57" s="351" t="s">
        <v>333</v>
      </c>
      <c r="BC57" s="371" t="s">
        <v>316</v>
      </c>
      <c r="BD57" s="371"/>
      <c r="BE57" s="371"/>
      <c r="BF57" s="371"/>
      <c r="BG57" s="371" t="s">
        <v>263</v>
      </c>
      <c r="BH57" s="351"/>
    </row>
    <row r="58" spans="1:62" ht="42" customHeight="1">
      <c r="A58" s="344">
        <f>SUBTOTAL(3,C$11:$C58)</f>
        <v>32</v>
      </c>
      <c r="B58" s="362" t="s">
        <v>336</v>
      </c>
      <c r="C58" s="351" t="s">
        <v>87</v>
      </c>
      <c r="D58" s="351">
        <v>54.66</v>
      </c>
      <c r="E58" s="351">
        <v>51.2</v>
      </c>
      <c r="F58" s="351">
        <f>D58-E58</f>
        <v>3.4599999999999937</v>
      </c>
      <c r="G58" s="414">
        <f t="shared" si="7"/>
        <v>2.87</v>
      </c>
      <c r="H58" s="413" t="s">
        <v>1052</v>
      </c>
      <c r="I58" s="413" t="s">
        <v>7</v>
      </c>
      <c r="J58" s="413" t="s">
        <v>1053</v>
      </c>
      <c r="K58" s="413" t="str">
        <f t="shared" si="8"/>
        <v xml:space="preserve">LUC, </v>
      </c>
      <c r="L58" s="413" t="str">
        <f t="shared" si="9"/>
        <v>LUC:2,87;</v>
      </c>
      <c r="M58" s="351">
        <v>2.87</v>
      </c>
      <c r="N58" s="351"/>
      <c r="O58" s="351"/>
      <c r="P58" s="351"/>
      <c r="Q58" s="351"/>
      <c r="R58" s="351"/>
      <c r="S58" s="351"/>
      <c r="T58" s="351"/>
      <c r="U58" s="351"/>
      <c r="V58" s="351"/>
      <c r="W58" s="351"/>
      <c r="X58" s="351"/>
      <c r="Y58" s="351"/>
      <c r="Z58" s="351"/>
      <c r="AA58" s="351"/>
      <c r="AB58" s="351"/>
      <c r="AC58" s="351"/>
      <c r="AD58" s="351"/>
      <c r="AE58" s="351"/>
      <c r="AF58" s="351"/>
      <c r="AG58" s="351"/>
      <c r="AH58" s="351"/>
      <c r="AI58" s="351"/>
      <c r="AJ58" s="351"/>
      <c r="AK58" s="351"/>
      <c r="AL58" s="351"/>
      <c r="AM58" s="351"/>
      <c r="AN58" s="351"/>
      <c r="AO58" s="351"/>
      <c r="AP58" s="351"/>
      <c r="AQ58" s="351"/>
      <c r="AR58" s="351"/>
      <c r="AS58" s="351"/>
      <c r="AT58" s="351"/>
      <c r="AU58" s="351"/>
      <c r="AV58" s="338" t="s">
        <v>280</v>
      </c>
      <c r="AW58" s="338" t="s">
        <v>280</v>
      </c>
      <c r="AX58" s="351" t="s">
        <v>337</v>
      </c>
      <c r="AY58" s="260" t="s">
        <v>337</v>
      </c>
      <c r="AZ58" s="181" t="s">
        <v>1054</v>
      </c>
      <c r="BA58" s="351" t="s">
        <v>338</v>
      </c>
      <c r="BB58" s="351"/>
      <c r="BC58" s="371" t="s">
        <v>316</v>
      </c>
      <c r="BD58" s="371"/>
      <c r="BE58" s="371"/>
      <c r="BF58" s="371"/>
      <c r="BG58" s="371" t="s">
        <v>263</v>
      </c>
      <c r="BH58" s="351"/>
      <c r="BI58" s="409" t="s">
        <v>358</v>
      </c>
      <c r="BJ58" s="409" t="s">
        <v>254</v>
      </c>
    </row>
    <row r="59" spans="1:62" ht="57">
      <c r="A59" s="344">
        <f>SUBTOTAL(3,C$11:$C59)</f>
        <v>33</v>
      </c>
      <c r="B59" s="362" t="s">
        <v>339</v>
      </c>
      <c r="C59" s="351" t="s">
        <v>87</v>
      </c>
      <c r="D59" s="351">
        <v>49.7</v>
      </c>
      <c r="E59" s="351"/>
      <c r="F59" s="351">
        <v>49.7</v>
      </c>
      <c r="G59" s="414">
        <f t="shared" si="7"/>
        <v>49.7</v>
      </c>
      <c r="H59" s="413" t="s">
        <v>1016</v>
      </c>
      <c r="I59" s="413" t="s">
        <v>1055</v>
      </c>
      <c r="J59" s="413" t="s">
        <v>1056</v>
      </c>
      <c r="K59" s="413" t="str">
        <f t="shared" si="8"/>
        <v xml:space="preserve">HNK, CLN, NTS, DGT, ONT, SON, </v>
      </c>
      <c r="L59" s="413" t="str">
        <f t="shared" si="9"/>
        <v>HNK:1;CLN:4;NTS:23,7;DGT:2;ONT:14;SON:5;</v>
      </c>
      <c r="M59" s="351"/>
      <c r="N59" s="351"/>
      <c r="O59" s="351">
        <v>1</v>
      </c>
      <c r="P59" s="351">
        <v>4</v>
      </c>
      <c r="Q59" s="351">
        <v>23.7</v>
      </c>
      <c r="R59" s="351"/>
      <c r="S59" s="351"/>
      <c r="T59" s="351"/>
      <c r="U59" s="351"/>
      <c r="V59" s="351"/>
      <c r="W59" s="351">
        <v>2</v>
      </c>
      <c r="X59" s="351"/>
      <c r="Y59" s="351"/>
      <c r="Z59" s="351"/>
      <c r="AA59" s="351"/>
      <c r="AB59" s="351"/>
      <c r="AC59" s="351"/>
      <c r="AD59" s="351"/>
      <c r="AE59" s="351"/>
      <c r="AF59" s="351"/>
      <c r="AG59" s="351"/>
      <c r="AH59" s="351"/>
      <c r="AI59" s="351"/>
      <c r="AJ59" s="351"/>
      <c r="AK59" s="351"/>
      <c r="AL59" s="351">
        <v>14</v>
      </c>
      <c r="AM59" s="351"/>
      <c r="AN59" s="351"/>
      <c r="AO59" s="351"/>
      <c r="AP59" s="351"/>
      <c r="AQ59" s="351">
        <v>5</v>
      </c>
      <c r="AR59" s="351"/>
      <c r="AS59" s="351"/>
      <c r="AT59" s="351"/>
      <c r="AU59" s="351"/>
      <c r="AV59" s="351" t="s">
        <v>292</v>
      </c>
      <c r="AW59" s="351" t="s">
        <v>292</v>
      </c>
      <c r="AX59" s="351" t="s">
        <v>340</v>
      </c>
      <c r="AY59" s="260" t="s">
        <v>340</v>
      </c>
      <c r="AZ59" s="181" t="s">
        <v>1057</v>
      </c>
      <c r="BA59" s="351"/>
      <c r="BB59" s="351"/>
      <c r="BC59" s="371" t="s">
        <v>316</v>
      </c>
      <c r="BD59" s="371"/>
      <c r="BE59" s="371"/>
      <c r="BF59" s="371"/>
      <c r="BG59" s="371" t="s">
        <v>263</v>
      </c>
      <c r="BH59" s="351"/>
    </row>
    <row r="60" spans="1:62" ht="57">
      <c r="A60" s="344">
        <f>SUBTOTAL(3,C$11:$C60)</f>
        <v>34</v>
      </c>
      <c r="B60" s="362" t="s">
        <v>341</v>
      </c>
      <c r="C60" s="351" t="s">
        <v>87</v>
      </c>
      <c r="D60" s="351">
        <v>49</v>
      </c>
      <c r="E60" s="351"/>
      <c r="F60" s="351">
        <v>49</v>
      </c>
      <c r="G60" s="414">
        <f t="shared" si="7"/>
        <v>49</v>
      </c>
      <c r="H60" s="413" t="s">
        <v>1016</v>
      </c>
      <c r="I60" s="413" t="s">
        <v>1058</v>
      </c>
      <c r="J60" s="413" t="s">
        <v>1056</v>
      </c>
      <c r="K60" s="413" t="str">
        <f t="shared" si="8"/>
        <v xml:space="preserve">CLN, DGT, DGD, ONT, </v>
      </c>
      <c r="L60" s="413" t="str">
        <f t="shared" si="9"/>
        <v>CLN:1,65;DGT:26,85;DGD:0,5;ONT:20;</v>
      </c>
      <c r="M60" s="351"/>
      <c r="N60" s="351"/>
      <c r="O60" s="351"/>
      <c r="P60" s="351">
        <v>1.65</v>
      </c>
      <c r="Q60" s="351"/>
      <c r="R60" s="351"/>
      <c r="S60" s="351"/>
      <c r="T60" s="351"/>
      <c r="U60" s="351"/>
      <c r="V60" s="351"/>
      <c r="W60" s="351">
        <v>26.85</v>
      </c>
      <c r="X60" s="351"/>
      <c r="Y60" s="351"/>
      <c r="Z60" s="351"/>
      <c r="AA60" s="351">
        <v>0.5</v>
      </c>
      <c r="AB60" s="351"/>
      <c r="AC60" s="351"/>
      <c r="AD60" s="351"/>
      <c r="AE60" s="351"/>
      <c r="AF60" s="351"/>
      <c r="AG60" s="351"/>
      <c r="AH60" s="351"/>
      <c r="AI60" s="351"/>
      <c r="AJ60" s="351"/>
      <c r="AK60" s="351"/>
      <c r="AL60" s="351">
        <v>20</v>
      </c>
      <c r="AM60" s="351"/>
      <c r="AN60" s="351"/>
      <c r="AO60" s="351"/>
      <c r="AP60" s="351"/>
      <c r="AQ60" s="351"/>
      <c r="AR60" s="351"/>
      <c r="AS60" s="351"/>
      <c r="AT60" s="351"/>
      <c r="AU60" s="351"/>
      <c r="AV60" s="351" t="s">
        <v>292</v>
      </c>
      <c r="AW60" s="351" t="s">
        <v>292</v>
      </c>
      <c r="AX60" s="351" t="s">
        <v>342</v>
      </c>
      <c r="AY60" s="260" t="s">
        <v>342</v>
      </c>
      <c r="AZ60" s="181" t="s">
        <v>1059</v>
      </c>
      <c r="BA60" s="351"/>
      <c r="BB60" s="351"/>
      <c r="BC60" s="371" t="s">
        <v>316</v>
      </c>
      <c r="BD60" s="371"/>
      <c r="BE60" s="371"/>
      <c r="BF60" s="371"/>
      <c r="BG60" s="371" t="s">
        <v>263</v>
      </c>
      <c r="BH60" s="351"/>
    </row>
    <row r="61" spans="1:62" ht="57">
      <c r="A61" s="344">
        <f>SUBTOTAL(3,C$11:$C61)</f>
        <v>35</v>
      </c>
      <c r="B61" s="362" t="s">
        <v>343</v>
      </c>
      <c r="C61" s="351" t="s">
        <v>87</v>
      </c>
      <c r="D61" s="351">
        <v>46.8</v>
      </c>
      <c r="E61" s="351"/>
      <c r="F61" s="351">
        <v>46.8</v>
      </c>
      <c r="G61" s="414">
        <f t="shared" si="7"/>
        <v>46.8</v>
      </c>
      <c r="H61" s="413" t="s">
        <v>1016</v>
      </c>
      <c r="I61" s="413" t="s">
        <v>1060</v>
      </c>
      <c r="J61" s="413" t="s">
        <v>1056</v>
      </c>
      <c r="K61" s="413" t="str">
        <f t="shared" si="8"/>
        <v xml:space="preserve">LUK, NTD, SON, </v>
      </c>
      <c r="L61" s="413" t="str">
        <f t="shared" si="9"/>
        <v>LUK:25,43;NTD:0,2;SON:21,17;</v>
      </c>
      <c r="M61" s="351"/>
      <c r="N61" s="351">
        <v>25.43</v>
      </c>
      <c r="O61" s="351"/>
      <c r="P61" s="351"/>
      <c r="Q61" s="351"/>
      <c r="R61" s="351"/>
      <c r="S61" s="351"/>
      <c r="T61" s="351"/>
      <c r="U61" s="351"/>
      <c r="V61" s="351"/>
      <c r="W61" s="351"/>
      <c r="X61" s="351"/>
      <c r="Y61" s="351"/>
      <c r="Z61" s="351"/>
      <c r="AA61" s="351"/>
      <c r="AB61" s="351"/>
      <c r="AC61" s="351"/>
      <c r="AD61" s="351"/>
      <c r="AE61" s="351"/>
      <c r="AF61" s="351"/>
      <c r="AG61" s="351"/>
      <c r="AH61" s="351">
        <v>0.2</v>
      </c>
      <c r="AI61" s="351"/>
      <c r="AJ61" s="351"/>
      <c r="AK61" s="351"/>
      <c r="AL61" s="351"/>
      <c r="AM61" s="351"/>
      <c r="AN61" s="351"/>
      <c r="AO61" s="351"/>
      <c r="AP61" s="351"/>
      <c r="AQ61" s="351">
        <v>21.17</v>
      </c>
      <c r="AR61" s="351"/>
      <c r="AS61" s="351"/>
      <c r="AT61" s="351"/>
      <c r="AU61" s="351"/>
      <c r="AV61" s="351" t="s">
        <v>292</v>
      </c>
      <c r="AW61" s="351" t="s">
        <v>292</v>
      </c>
      <c r="AX61" s="351" t="s">
        <v>335</v>
      </c>
      <c r="AY61" s="260" t="s">
        <v>335</v>
      </c>
      <c r="AZ61" s="181" t="s">
        <v>1061</v>
      </c>
      <c r="BA61" s="351"/>
      <c r="BB61" s="351"/>
      <c r="BC61" s="371" t="s">
        <v>316</v>
      </c>
      <c r="BD61" s="371"/>
      <c r="BE61" s="371"/>
      <c r="BF61" s="371"/>
      <c r="BG61" s="371" t="s">
        <v>263</v>
      </c>
      <c r="BH61" s="351"/>
    </row>
    <row r="62" spans="1:62" ht="57">
      <c r="A62" s="344">
        <f>SUBTOTAL(3,C$11:$C62)</f>
        <v>36</v>
      </c>
      <c r="B62" s="362" t="s">
        <v>344</v>
      </c>
      <c r="C62" s="351" t="s">
        <v>87</v>
      </c>
      <c r="D62" s="351">
        <v>49.8</v>
      </c>
      <c r="E62" s="351"/>
      <c r="F62" s="351">
        <v>49.8</v>
      </c>
      <c r="G62" s="414">
        <f t="shared" si="7"/>
        <v>49.800000000000004</v>
      </c>
      <c r="H62" s="413" t="s">
        <v>1016</v>
      </c>
      <c r="I62" s="413" t="s">
        <v>1062</v>
      </c>
      <c r="J62" s="413" t="s">
        <v>1056</v>
      </c>
      <c r="K62" s="413" t="str">
        <f t="shared" si="8"/>
        <v xml:space="preserve">CLN, NTS, ONT, SON, </v>
      </c>
      <c r="L62" s="413" t="str">
        <f t="shared" si="9"/>
        <v>CLN:1,6;NTS:34,2;ONT:10;SON:4;</v>
      </c>
      <c r="M62" s="351"/>
      <c r="N62" s="351"/>
      <c r="O62" s="351"/>
      <c r="P62" s="351">
        <v>1.6</v>
      </c>
      <c r="Q62" s="351">
        <v>34.200000000000003</v>
      </c>
      <c r="R62" s="351"/>
      <c r="S62" s="351"/>
      <c r="T62" s="351"/>
      <c r="U62" s="351"/>
      <c r="V62" s="351"/>
      <c r="W62" s="351"/>
      <c r="X62" s="351"/>
      <c r="Y62" s="351"/>
      <c r="Z62" s="351"/>
      <c r="AA62" s="351"/>
      <c r="AB62" s="351"/>
      <c r="AC62" s="351"/>
      <c r="AD62" s="351"/>
      <c r="AE62" s="351"/>
      <c r="AF62" s="351"/>
      <c r="AG62" s="351"/>
      <c r="AH62" s="351"/>
      <c r="AI62" s="351"/>
      <c r="AJ62" s="351"/>
      <c r="AK62" s="351"/>
      <c r="AL62" s="351">
        <v>10</v>
      </c>
      <c r="AM62" s="351"/>
      <c r="AN62" s="351"/>
      <c r="AO62" s="351"/>
      <c r="AP62" s="351"/>
      <c r="AQ62" s="351">
        <v>4</v>
      </c>
      <c r="AR62" s="351"/>
      <c r="AS62" s="351"/>
      <c r="AT62" s="351"/>
      <c r="AU62" s="351"/>
      <c r="AV62" s="351" t="s">
        <v>292</v>
      </c>
      <c r="AW62" s="351" t="s">
        <v>292</v>
      </c>
      <c r="AX62" s="351" t="s">
        <v>332</v>
      </c>
      <c r="AY62" s="260" t="s">
        <v>332</v>
      </c>
      <c r="AZ62" s="181" t="s">
        <v>1063</v>
      </c>
      <c r="BA62" s="351"/>
      <c r="BB62" s="351"/>
      <c r="BC62" s="371" t="s">
        <v>316</v>
      </c>
      <c r="BD62" s="371"/>
      <c r="BE62" s="371"/>
      <c r="BF62" s="371"/>
      <c r="BG62" s="371" t="s">
        <v>263</v>
      </c>
      <c r="BH62" s="351"/>
    </row>
    <row r="63" spans="1:62" ht="57">
      <c r="A63" s="344">
        <f>SUBTOTAL(3,C$11:$C63)</f>
        <v>37</v>
      </c>
      <c r="B63" s="362" t="s">
        <v>329</v>
      </c>
      <c r="C63" s="351" t="s">
        <v>87</v>
      </c>
      <c r="D63" s="351">
        <v>71.2</v>
      </c>
      <c r="E63" s="351"/>
      <c r="F63" s="351">
        <v>71.2</v>
      </c>
      <c r="G63" s="414">
        <f t="shared" si="7"/>
        <v>71.2</v>
      </c>
      <c r="H63" s="413" t="s">
        <v>1026</v>
      </c>
      <c r="I63" s="413" t="s">
        <v>1064</v>
      </c>
      <c r="J63" s="413" t="s">
        <v>1028</v>
      </c>
      <c r="K63" s="413" t="str">
        <f t="shared" si="8"/>
        <v xml:space="preserve">LUK, CLN, NTS, SKC, ONT, </v>
      </c>
      <c r="L63" s="413" t="str">
        <f t="shared" si="9"/>
        <v>LUK:20,71;CLN:5;NTS:39,99;SKC:0,5;ONT:5;</v>
      </c>
      <c r="M63" s="351"/>
      <c r="N63" s="351">
        <v>20.71</v>
      </c>
      <c r="O63" s="351"/>
      <c r="P63" s="351">
        <v>5</v>
      </c>
      <c r="Q63" s="351">
        <v>39.99</v>
      </c>
      <c r="R63" s="351"/>
      <c r="S63" s="351"/>
      <c r="T63" s="351"/>
      <c r="U63" s="351"/>
      <c r="V63" s="351">
        <v>0.5</v>
      </c>
      <c r="W63" s="351"/>
      <c r="X63" s="351"/>
      <c r="Y63" s="351"/>
      <c r="Z63" s="351"/>
      <c r="AA63" s="351"/>
      <c r="AB63" s="351"/>
      <c r="AC63" s="351"/>
      <c r="AD63" s="351"/>
      <c r="AE63" s="351"/>
      <c r="AF63" s="351"/>
      <c r="AG63" s="351"/>
      <c r="AH63" s="351"/>
      <c r="AI63" s="351"/>
      <c r="AJ63" s="351"/>
      <c r="AK63" s="351"/>
      <c r="AL63" s="351">
        <v>5</v>
      </c>
      <c r="AM63" s="351"/>
      <c r="AN63" s="351"/>
      <c r="AO63" s="351"/>
      <c r="AP63" s="351"/>
      <c r="AQ63" s="351"/>
      <c r="AR63" s="351"/>
      <c r="AS63" s="351"/>
      <c r="AT63" s="351"/>
      <c r="AU63" s="351"/>
      <c r="AV63" s="351" t="s">
        <v>266</v>
      </c>
      <c r="AW63" s="351" t="s">
        <v>266</v>
      </c>
      <c r="AX63" s="351" t="s">
        <v>345</v>
      </c>
      <c r="AY63" s="260" t="s">
        <v>345</v>
      </c>
      <c r="AZ63" s="181" t="s">
        <v>1065</v>
      </c>
      <c r="BA63" s="351" t="s">
        <v>326</v>
      </c>
      <c r="BB63" s="351"/>
      <c r="BC63" s="371" t="s">
        <v>316</v>
      </c>
      <c r="BD63" s="371"/>
      <c r="BE63" s="371"/>
      <c r="BF63" s="371"/>
      <c r="BG63" s="371" t="s">
        <v>263</v>
      </c>
      <c r="BH63" s="351"/>
    </row>
    <row r="64" spans="1:62" ht="24.65" customHeight="1">
      <c r="A64" s="172" t="s">
        <v>1718</v>
      </c>
      <c r="B64" s="159" t="s">
        <v>108</v>
      </c>
      <c r="C64" s="158"/>
      <c r="D64" s="351"/>
      <c r="E64" s="351"/>
      <c r="F64" s="351"/>
      <c r="G64" s="414"/>
      <c r="H64" s="413"/>
      <c r="I64" s="413"/>
      <c r="J64" s="413"/>
      <c r="K64" s="413" t="str">
        <f t="shared" si="8"/>
        <v/>
      </c>
      <c r="L64" s="413" t="str">
        <f t="shared" si="9"/>
        <v/>
      </c>
      <c r="M64" s="351"/>
      <c r="N64" s="351"/>
      <c r="O64" s="351"/>
      <c r="P64" s="351"/>
      <c r="Q64" s="351"/>
      <c r="R64" s="351"/>
      <c r="S64" s="351"/>
      <c r="T64" s="351"/>
      <c r="U64" s="351"/>
      <c r="V64" s="351"/>
      <c r="W64" s="351"/>
      <c r="X64" s="351"/>
      <c r="Y64" s="351"/>
      <c r="Z64" s="351"/>
      <c r="AA64" s="351"/>
      <c r="AB64" s="351"/>
      <c r="AC64" s="351"/>
      <c r="AD64" s="351"/>
      <c r="AE64" s="351"/>
      <c r="AF64" s="351"/>
      <c r="AG64" s="351"/>
      <c r="AH64" s="351"/>
      <c r="AI64" s="351"/>
      <c r="AJ64" s="351"/>
      <c r="AK64" s="351"/>
      <c r="AL64" s="351"/>
      <c r="AM64" s="351"/>
      <c r="AN64" s="351"/>
      <c r="AO64" s="351"/>
      <c r="AP64" s="351"/>
      <c r="AQ64" s="351"/>
      <c r="AR64" s="351"/>
      <c r="AS64" s="351"/>
      <c r="AT64" s="351"/>
      <c r="AU64" s="351"/>
      <c r="AV64" s="351"/>
      <c r="AW64" s="351"/>
      <c r="AX64" s="351"/>
      <c r="AY64" s="260"/>
      <c r="AZ64" s="181"/>
      <c r="BA64" s="351"/>
      <c r="BB64" s="351"/>
      <c r="BC64" s="156"/>
      <c r="BD64" s="156"/>
      <c r="BE64" s="156"/>
      <c r="BF64" s="156"/>
      <c r="BG64" s="156"/>
      <c r="BH64" s="351"/>
    </row>
    <row r="65" spans="1:62" s="179" customFormat="1" ht="24.65" customHeight="1">
      <c r="A65" s="145"/>
      <c r="B65" s="163" t="s">
        <v>1757</v>
      </c>
      <c r="C65" s="164"/>
      <c r="D65" s="368"/>
      <c r="E65" s="368"/>
      <c r="F65" s="368"/>
      <c r="G65" s="410"/>
      <c r="H65" s="411"/>
      <c r="I65" s="411"/>
      <c r="J65" s="411"/>
      <c r="K65" s="411"/>
      <c r="L65" s="411"/>
      <c r="M65" s="368"/>
      <c r="N65" s="368"/>
      <c r="O65" s="368"/>
      <c r="P65" s="368"/>
      <c r="Q65" s="368"/>
      <c r="R65" s="368"/>
      <c r="S65" s="368"/>
      <c r="T65" s="368"/>
      <c r="U65" s="368"/>
      <c r="V65" s="368"/>
      <c r="W65" s="368"/>
      <c r="X65" s="368"/>
      <c r="Y65" s="368"/>
      <c r="Z65" s="368"/>
      <c r="AA65" s="368"/>
      <c r="AB65" s="368"/>
      <c r="AC65" s="368"/>
      <c r="AD65" s="368"/>
      <c r="AE65" s="368"/>
      <c r="AF65" s="368"/>
      <c r="AG65" s="368"/>
      <c r="AH65" s="368"/>
      <c r="AI65" s="368"/>
      <c r="AJ65" s="368"/>
      <c r="AK65" s="368"/>
      <c r="AL65" s="368"/>
      <c r="AM65" s="368"/>
      <c r="AN65" s="368"/>
      <c r="AO65" s="368"/>
      <c r="AP65" s="368"/>
      <c r="AQ65" s="368"/>
      <c r="AR65" s="368"/>
      <c r="AS65" s="368"/>
      <c r="AT65" s="368"/>
      <c r="AU65" s="368"/>
      <c r="AV65" s="368"/>
      <c r="AW65" s="368"/>
      <c r="AX65" s="368"/>
      <c r="AY65" s="257"/>
      <c r="AZ65" s="178"/>
      <c r="BA65" s="368"/>
      <c r="BB65" s="368"/>
      <c r="BC65" s="165"/>
      <c r="BD65" s="165"/>
      <c r="BE65" s="165"/>
      <c r="BF65" s="165"/>
      <c r="BG65" s="165"/>
      <c r="BH65" s="368"/>
      <c r="BI65" s="412"/>
      <c r="BJ65" s="412"/>
    </row>
    <row r="66" spans="1:62" ht="105.65" customHeight="1">
      <c r="A66" s="611">
        <f>SUBTOTAL(3,C$11:$C66)</f>
        <v>38</v>
      </c>
      <c r="B66" s="604" t="s">
        <v>412</v>
      </c>
      <c r="C66" s="605" t="s">
        <v>42</v>
      </c>
      <c r="D66" s="605">
        <v>147.16</v>
      </c>
      <c r="E66" s="612"/>
      <c r="F66" s="339">
        <f>F67+F68+F69+F70+F71</f>
        <v>147.16</v>
      </c>
      <c r="G66" s="414">
        <v>132.16</v>
      </c>
      <c r="H66" s="413" t="s">
        <v>1138</v>
      </c>
      <c r="I66" s="413" t="s">
        <v>1139</v>
      </c>
      <c r="J66" s="413"/>
      <c r="K66" s="413"/>
      <c r="L66" s="413"/>
      <c r="M66" s="339"/>
      <c r="N66" s="339"/>
      <c r="O66" s="339"/>
      <c r="P66" s="339"/>
      <c r="Q66" s="339"/>
      <c r="R66" s="339"/>
      <c r="S66" s="339"/>
      <c r="T66" s="339"/>
      <c r="U66" s="339"/>
      <c r="V66" s="339"/>
      <c r="W66" s="339"/>
      <c r="X66" s="339"/>
      <c r="Y66" s="339"/>
      <c r="Z66" s="339"/>
      <c r="AA66" s="339"/>
      <c r="AB66" s="339"/>
      <c r="AC66" s="339"/>
      <c r="AD66" s="339"/>
      <c r="AE66" s="339"/>
      <c r="AF66" s="339"/>
      <c r="AG66" s="339"/>
      <c r="AH66" s="339"/>
      <c r="AI66" s="339"/>
      <c r="AJ66" s="339"/>
      <c r="AK66" s="339"/>
      <c r="AL66" s="339"/>
      <c r="AM66" s="339"/>
      <c r="AN66" s="339"/>
      <c r="AO66" s="339"/>
      <c r="AP66" s="339"/>
      <c r="AQ66" s="339"/>
      <c r="AR66" s="339"/>
      <c r="AS66" s="339"/>
      <c r="AT66" s="339"/>
      <c r="AU66" s="339"/>
      <c r="AV66" s="193" t="s">
        <v>1140</v>
      </c>
      <c r="AW66" s="193"/>
      <c r="AX66" s="350" t="s">
        <v>1141</v>
      </c>
      <c r="AY66" s="356"/>
      <c r="AZ66" s="352"/>
      <c r="BA66" s="350"/>
      <c r="BB66" s="350"/>
      <c r="BC66" s="194"/>
      <c r="BD66" s="194"/>
      <c r="BE66" s="194"/>
      <c r="BF66" s="194"/>
      <c r="BG66" s="194"/>
      <c r="BH66" s="350"/>
    </row>
    <row r="67" spans="1:62" ht="36" customHeight="1">
      <c r="A67" s="611"/>
      <c r="B67" s="604"/>
      <c r="C67" s="605"/>
      <c r="D67" s="605"/>
      <c r="E67" s="612"/>
      <c r="F67" s="351">
        <v>25.3</v>
      </c>
      <c r="G67" s="414">
        <f>SUM(M67:AR67)</f>
        <v>25.3</v>
      </c>
      <c r="H67" s="413" t="s">
        <v>1142</v>
      </c>
      <c r="I67" s="413" t="s">
        <v>1142</v>
      </c>
      <c r="J67" s="413"/>
      <c r="K67" s="413" t="str">
        <f>IF(M67&lt;&gt;0,$M$5&amp;", ","")&amp;IF(N67&lt;&gt;0,$N$5&amp;", ","")&amp;IF(O67&lt;&gt;0,O$5&amp;", ","")&amp;IF(P67&lt;&gt;0,P$5&amp;", ","")&amp;IF(Q67&lt;&gt;0,Q$5&amp;", ","")&amp;IF(R67&lt;&gt;0,R$5&amp;", ","")&amp;IF(S67&lt;&gt;0,S$5&amp;", ","")&amp;IF(T67&lt;&gt;0,T$5&amp;", ","")&amp;IF(U67&lt;&gt;0,U$5&amp;", ","")&amp;IF(V67&lt;&gt;0,V$5&amp;", ","")&amp;IF(W67&lt;&gt;0,W$5&amp;", ","")&amp;IF(X67&lt;&gt;0,X$5&amp;", ","")&amp;IF(Y67&lt;&gt;0,Y$5&amp;", ","")&amp;IF(Z67&lt;&gt;0,Z$5&amp;", ","")&amp;IF(AA67&lt;&gt;0,AA$5&amp;", ","")&amp;IF(AB67&lt;&gt;0,AB$5&amp;", ","")&amp;IF(AC67&lt;&gt;0,AC$5&amp;", ","")&amp;IF(AD67&lt;&gt;0,AD$5&amp;", ","")&amp;IF(AE67&lt;&gt;0,AE$5&amp;", ","")&amp;IF(AF67&lt;&gt;0,AF$5&amp;", ","")&amp;IF(AG67&lt;&gt;0,AG$5&amp;", ","")&amp;IF(AH67&lt;&gt;0,AH$5&amp;", ","")&amp;IF(AI67&lt;&gt;0,AI$5&amp;", ","")&amp;IF(AJ67&lt;&gt;0,AJ$5&amp;", ","")&amp;IF(AK67&lt;&gt;0,AK$5&amp;", ","")&amp;IF(AL67&lt;&gt;0,AL$5&amp;", ","")&amp;IF(AM67&lt;&gt;0,AM$5&amp;", ","")&amp;IF(AN67&lt;&gt;0,AN$5&amp;", ","")&amp;IF(AO67&lt;&gt;0,AO$5&amp;", ","")&amp;IF(AP67&lt;&gt;0,AP$5&amp;", ","")&amp;IF(AQ67&lt;&gt;0,AQ$5&amp;", ","")&amp;IF(AR67&lt;&gt;0,AR$5,"")&amp;IF(AS67&lt;&gt;0,AS$5,"")&amp;IF(AT67&lt;&gt;0,AT$5,"")&amp;IF(AU67&lt;&gt;0,AU$5,"")</f>
        <v xml:space="preserve">LUC, SON, </v>
      </c>
      <c r="L67" s="413" t="str">
        <f>IF(M67="","",$M$5&amp;":"&amp;M67&amp;";")&amp;IF(N67="","",$N$5&amp;":"&amp;N67&amp;";")&amp;IF(O67="","",$O$5&amp;":"&amp;O67&amp;";")&amp;IF(P67="","",$P$5&amp;":"&amp;P67&amp;";")&amp;IF(Q67="","",$Q$5&amp;":"&amp;Q67&amp;";")&amp;IF(R67="","",$R$5&amp;":"&amp;R67&amp;";")&amp;IF(S67="","",$S$5&amp;":"&amp;S67&amp;";")&amp;IF(T67="","",$T$5&amp;":"&amp;T67&amp;";")&amp;IF(U67="","",$U$5&amp;":"&amp;U67&amp;";")&amp;IF(V67="","",$V$5&amp;":"&amp;V67&amp;";")&amp;IF(W67="","",$W$5&amp;":"&amp;W67&amp;";")&amp;IF(X67="","",$X$5&amp;":"&amp;X67&amp;";")&amp;IF(Y67="","",$Y$5&amp;":"&amp;Y67&amp;";")&amp;IF(Z67="","",$Z$5&amp;":"&amp;Z67&amp;";")&amp;IF(AA67="","",$AA$5&amp;":"&amp;AA67&amp;";")&amp;IF(AB67="","",$AB$5&amp;":"&amp;AB67&amp;";")&amp;IF(AC67="","",$AC$5&amp;":"&amp;AC67&amp;";")&amp;IF(AD67="","",$AD$5&amp;":"&amp;AD67&amp;";")&amp;IF(AE67="","",$AE$5&amp;":"&amp;AE67&amp;";")&amp;IF(AF67="","",$AF$5&amp;":"&amp;AF67&amp;";")&amp;IF(AG67="","",$AG$5&amp;":"&amp;AG67&amp;";")&amp;IF(AH67="","",$AH$5&amp;":"&amp;AH67&amp;";")&amp;IF(AI67="","",$AI$5&amp;":"&amp;AI67&amp;";")&amp;IF(AJ67="","",$AJ$5&amp;":"&amp;AJ67&amp;";")&amp;IF(AK67="","",$AK$5&amp;":"&amp;AK67&amp;";")&amp;IF(AL67="","",$AL$5&amp;":"&amp;AL67&amp;";")&amp;IF(AM67="","",$AM$5&amp;":"&amp;AM67&amp;";")&amp;IF(AN67="","",$AN$5&amp;":"&amp;AN67&amp;";")&amp;IF(AO67="","",$AO$5&amp;":"&amp;AO67&amp;";")&amp;IF(AP67="","",$AP$5&amp;":"&amp;AP67&amp;";")&amp;IF(AQ67="","",$AQ$5&amp;":"&amp;AQ67&amp;";")&amp;IF(AR67="","",$AR$5&amp;":"&amp;AR67&amp;";")&amp;IF(AS67="","",$AS$5&amp;":"&amp;AS67&amp;";")&amp;IF(AT67="","",$AT$5&amp;":"&amp;AT67&amp;";")&amp;IF(AU67="","",$AU$5&amp;":"&amp;AU67&amp;";")</f>
        <v>LUC:10,3;SON:15;</v>
      </c>
      <c r="M67" s="351">
        <v>10.3</v>
      </c>
      <c r="N67" s="351"/>
      <c r="O67" s="351"/>
      <c r="P67" s="351"/>
      <c r="Q67" s="351"/>
      <c r="R67" s="351"/>
      <c r="S67" s="351"/>
      <c r="T67" s="351"/>
      <c r="U67" s="351"/>
      <c r="V67" s="351"/>
      <c r="W67" s="351"/>
      <c r="X67" s="351"/>
      <c r="Y67" s="351"/>
      <c r="Z67" s="351"/>
      <c r="AA67" s="351"/>
      <c r="AB67" s="351"/>
      <c r="AC67" s="351"/>
      <c r="AD67" s="351"/>
      <c r="AE67" s="351"/>
      <c r="AF67" s="351"/>
      <c r="AG67" s="351"/>
      <c r="AH67" s="351"/>
      <c r="AI67" s="351"/>
      <c r="AJ67" s="351"/>
      <c r="AK67" s="351"/>
      <c r="AL67" s="351"/>
      <c r="AM67" s="351"/>
      <c r="AN67" s="351"/>
      <c r="AO67" s="351"/>
      <c r="AP67" s="351"/>
      <c r="AQ67" s="351">
        <v>15</v>
      </c>
      <c r="AR67" s="351"/>
      <c r="AS67" s="351"/>
      <c r="AT67" s="351"/>
      <c r="AU67" s="351"/>
      <c r="AV67" s="351" t="s">
        <v>258</v>
      </c>
      <c r="AW67" s="351" t="s">
        <v>258</v>
      </c>
      <c r="AX67" s="351"/>
      <c r="AY67" s="260"/>
      <c r="AZ67" s="181"/>
      <c r="BA67" s="351"/>
      <c r="BB67" s="351"/>
      <c r="BC67" s="608" t="s">
        <v>267</v>
      </c>
      <c r="BD67" s="364"/>
      <c r="BE67" s="364"/>
      <c r="BF67" s="364" t="s">
        <v>263</v>
      </c>
      <c r="BG67" s="364"/>
      <c r="BH67" s="351"/>
    </row>
    <row r="68" spans="1:62" ht="36" customHeight="1">
      <c r="A68" s="611"/>
      <c r="B68" s="604"/>
      <c r="C68" s="605"/>
      <c r="D68" s="605"/>
      <c r="E68" s="612"/>
      <c r="F68" s="351">
        <v>23.68</v>
      </c>
      <c r="G68" s="414">
        <f>SUM(M68:AR68)</f>
        <v>23.68</v>
      </c>
      <c r="H68" s="413" t="s">
        <v>1139</v>
      </c>
      <c r="I68" s="413" t="s">
        <v>1139</v>
      </c>
      <c r="J68" s="413" t="s">
        <v>1139</v>
      </c>
      <c r="K68" s="413" t="str">
        <f>IF(M68&lt;&gt;0,$M$5&amp;", ","")&amp;IF(N68&lt;&gt;0,$N$5&amp;", ","")&amp;IF(O68&lt;&gt;0,O$5&amp;", ","")&amp;IF(P68&lt;&gt;0,P$5&amp;", ","")&amp;IF(Q68&lt;&gt;0,Q$5&amp;", ","")&amp;IF(R68&lt;&gt;0,R$5&amp;", ","")&amp;IF(S68&lt;&gt;0,S$5&amp;", ","")&amp;IF(T68&lt;&gt;0,T$5&amp;", ","")&amp;IF(U68&lt;&gt;0,U$5&amp;", ","")&amp;IF(V68&lt;&gt;0,V$5&amp;", ","")&amp;IF(W68&lt;&gt;0,W$5&amp;", ","")&amp;IF(X68&lt;&gt;0,X$5&amp;", ","")&amp;IF(Y68&lt;&gt;0,Y$5&amp;", ","")&amp;IF(Z68&lt;&gt;0,Z$5&amp;", ","")&amp;IF(AA68&lt;&gt;0,AA$5&amp;", ","")&amp;IF(AB68&lt;&gt;0,AB$5&amp;", ","")&amp;IF(AC68&lt;&gt;0,AC$5&amp;", ","")&amp;IF(AD68&lt;&gt;0,AD$5&amp;", ","")&amp;IF(AE68&lt;&gt;0,AE$5&amp;", ","")&amp;IF(AF68&lt;&gt;0,AF$5&amp;", ","")&amp;IF(AG68&lt;&gt;0,AG$5&amp;", ","")&amp;IF(AH68&lt;&gt;0,AH$5&amp;", ","")&amp;IF(AI68&lt;&gt;0,AI$5&amp;", ","")&amp;IF(AJ68&lt;&gt;0,AJ$5&amp;", ","")&amp;IF(AK68&lt;&gt;0,AK$5&amp;", ","")&amp;IF(AL68&lt;&gt;0,AL$5&amp;", ","")&amp;IF(AM68&lt;&gt;0,AM$5&amp;", ","")&amp;IF(AN68&lt;&gt;0,AN$5&amp;", ","")&amp;IF(AO68&lt;&gt;0,AO$5&amp;", ","")&amp;IF(AP68&lt;&gt;0,AP$5&amp;", ","")&amp;IF(AQ68&lt;&gt;0,AQ$5&amp;", ","")&amp;IF(AR68&lt;&gt;0,AR$5,"")&amp;IF(AS68&lt;&gt;0,AS$5,"")&amp;IF(AT68&lt;&gt;0,AT$5,"")&amp;IF(AU68&lt;&gt;0,AU$5,"")</f>
        <v xml:space="preserve">LUC, HNK, DGT, ONT, </v>
      </c>
      <c r="L68" s="413" t="str">
        <f>IF(M68="","",$M$5&amp;":"&amp;M68&amp;";")&amp;IF(N68="","",$N$5&amp;":"&amp;N68&amp;";")&amp;IF(O68="","",$O$5&amp;":"&amp;O68&amp;";")&amp;IF(P68="","",$P$5&amp;":"&amp;P68&amp;";")&amp;IF(Q68="","",$Q$5&amp;":"&amp;Q68&amp;";")&amp;IF(R68="","",$R$5&amp;":"&amp;R68&amp;";")&amp;IF(S68="","",$S$5&amp;":"&amp;S68&amp;";")&amp;IF(T68="","",$T$5&amp;":"&amp;T68&amp;";")&amp;IF(U68="","",$U$5&amp;":"&amp;U68&amp;";")&amp;IF(V68="","",$V$5&amp;":"&amp;V68&amp;";")&amp;IF(W68="","",$W$5&amp;":"&amp;W68&amp;";")&amp;IF(X68="","",$X$5&amp;":"&amp;X68&amp;";")&amp;IF(Y68="","",$Y$5&amp;":"&amp;Y68&amp;";")&amp;IF(Z68="","",$Z$5&amp;":"&amp;Z68&amp;";")&amp;IF(AA68="","",$AA$5&amp;":"&amp;AA68&amp;";")&amp;IF(AB68="","",$AB$5&amp;":"&amp;AB68&amp;";")&amp;IF(AC68="","",$AC$5&amp;":"&amp;AC68&amp;";")&amp;IF(AD68="","",$AD$5&amp;":"&amp;AD68&amp;";")&amp;IF(AE68="","",$AE$5&amp;":"&amp;AE68&amp;";")&amp;IF(AF68="","",$AF$5&amp;":"&amp;AF68&amp;";")&amp;IF(AG68="","",$AG$5&amp;":"&amp;AG68&amp;";")&amp;IF(AH68="","",$AH$5&amp;":"&amp;AH68&amp;";")&amp;IF(AI68="","",$AI$5&amp;":"&amp;AI68&amp;";")&amp;IF(AJ68="","",$AJ$5&amp;":"&amp;AJ68&amp;";")&amp;IF(AK68="","",$AK$5&amp;":"&amp;AK68&amp;";")&amp;IF(AL68="","",$AL$5&amp;":"&amp;AL68&amp;";")&amp;IF(AM68="","",$AM$5&amp;":"&amp;AM68&amp;";")&amp;IF(AN68="","",$AN$5&amp;":"&amp;AN68&amp;";")&amp;IF(AO68="","",$AO$5&amp;":"&amp;AO68&amp;";")&amp;IF(AP68="","",$AP$5&amp;":"&amp;AP68&amp;";")&amp;IF(AQ68="","",$AQ$5&amp;":"&amp;AQ68&amp;";")&amp;IF(AR68="","",$AR$5&amp;":"&amp;AR68&amp;";")&amp;IF(AS68="","",$AS$5&amp;":"&amp;AS68&amp;";")&amp;IF(AT68="","",$AT$5&amp;":"&amp;AT68&amp;";")&amp;IF(AU68="","",$AU$5&amp;":"&amp;AU68&amp;";")</f>
        <v>LUC:4,79;HNK:2,74;DGT:1,94;ONT:14,21;</v>
      </c>
      <c r="M68" s="351">
        <v>4.79</v>
      </c>
      <c r="N68" s="351"/>
      <c r="O68" s="351">
        <v>2.74</v>
      </c>
      <c r="P68" s="351"/>
      <c r="Q68" s="351"/>
      <c r="R68" s="351"/>
      <c r="S68" s="351"/>
      <c r="T68" s="351"/>
      <c r="U68" s="351"/>
      <c r="V68" s="351"/>
      <c r="W68" s="351">
        <v>1.94</v>
      </c>
      <c r="X68" s="351"/>
      <c r="Y68" s="351"/>
      <c r="Z68" s="351"/>
      <c r="AA68" s="351"/>
      <c r="AB68" s="351"/>
      <c r="AC68" s="351"/>
      <c r="AD68" s="351"/>
      <c r="AE68" s="351"/>
      <c r="AF68" s="351"/>
      <c r="AG68" s="351"/>
      <c r="AH68" s="351"/>
      <c r="AI68" s="351"/>
      <c r="AJ68" s="351"/>
      <c r="AK68" s="351"/>
      <c r="AL68" s="351">
        <v>14.21</v>
      </c>
      <c r="AM68" s="351"/>
      <c r="AN68" s="351"/>
      <c r="AO68" s="351"/>
      <c r="AP68" s="351"/>
      <c r="AQ68" s="351"/>
      <c r="AR68" s="351"/>
      <c r="AS68" s="351"/>
      <c r="AT68" s="351"/>
      <c r="AU68" s="351"/>
      <c r="AV68" s="351" t="s">
        <v>286</v>
      </c>
      <c r="AW68" s="351" t="s">
        <v>286</v>
      </c>
      <c r="AX68" s="351"/>
      <c r="AY68" s="260"/>
      <c r="AZ68" s="181" t="s">
        <v>1143</v>
      </c>
      <c r="BA68" s="351"/>
      <c r="BB68" s="351"/>
      <c r="BC68" s="609"/>
      <c r="BD68" s="370"/>
      <c r="BE68" s="370"/>
      <c r="BF68" s="370" t="s">
        <v>263</v>
      </c>
      <c r="BG68" s="370"/>
      <c r="BH68" s="351"/>
    </row>
    <row r="69" spans="1:62" ht="42" customHeight="1">
      <c r="A69" s="611"/>
      <c r="B69" s="604"/>
      <c r="C69" s="605"/>
      <c r="D69" s="605"/>
      <c r="E69" s="612"/>
      <c r="F69" s="351">
        <v>51.8</v>
      </c>
      <c r="G69" s="414">
        <f>SUM(M69:AR69)</f>
        <v>51.8</v>
      </c>
      <c r="H69" s="413" t="s">
        <v>1144</v>
      </c>
      <c r="I69" s="413" t="s">
        <v>1144</v>
      </c>
      <c r="J69" s="413"/>
      <c r="K69" s="413" t="str">
        <f>IF(M69&lt;&gt;0,$M$5&amp;", ","")&amp;IF(N69&lt;&gt;0,$N$5&amp;", ","")&amp;IF(O69&lt;&gt;0,O$5&amp;", ","")&amp;IF(P69&lt;&gt;0,P$5&amp;", ","")&amp;IF(Q69&lt;&gt;0,Q$5&amp;", ","")&amp;IF(R69&lt;&gt;0,R$5&amp;", ","")&amp;IF(S69&lt;&gt;0,S$5&amp;", ","")&amp;IF(T69&lt;&gt;0,T$5&amp;", ","")&amp;IF(U69&lt;&gt;0,U$5&amp;", ","")&amp;IF(V69&lt;&gt;0,V$5&amp;", ","")&amp;IF(W69&lt;&gt;0,W$5&amp;", ","")&amp;IF(X69&lt;&gt;0,X$5&amp;", ","")&amp;IF(Y69&lt;&gt;0,Y$5&amp;", ","")&amp;IF(Z69&lt;&gt;0,Z$5&amp;", ","")&amp;IF(AA69&lt;&gt;0,AA$5&amp;", ","")&amp;IF(AB69&lt;&gt;0,AB$5&amp;", ","")&amp;IF(AC69&lt;&gt;0,AC$5&amp;", ","")&amp;IF(AD69&lt;&gt;0,AD$5&amp;", ","")&amp;IF(AE69&lt;&gt;0,AE$5&amp;", ","")&amp;IF(AF69&lt;&gt;0,AF$5&amp;", ","")&amp;IF(AG69&lt;&gt;0,AG$5&amp;", ","")&amp;IF(AH69&lt;&gt;0,AH$5&amp;", ","")&amp;IF(AI69&lt;&gt;0,AI$5&amp;", ","")&amp;IF(AJ69&lt;&gt;0,AJ$5&amp;", ","")&amp;IF(AK69&lt;&gt;0,AK$5&amp;", ","")&amp;IF(AL69&lt;&gt;0,AL$5&amp;", ","")&amp;IF(AM69&lt;&gt;0,AM$5&amp;", ","")&amp;IF(AN69&lt;&gt;0,AN$5&amp;", ","")&amp;IF(AO69&lt;&gt;0,AO$5&amp;", ","")&amp;IF(AP69&lt;&gt;0,AP$5&amp;", ","")&amp;IF(AQ69&lt;&gt;0,AQ$5&amp;", ","")&amp;IF(AR69&lt;&gt;0,AR$5,"")&amp;IF(AS69&lt;&gt;0,AS$5,"")&amp;IF(AT69&lt;&gt;0,AT$5,"")&amp;IF(AU69&lt;&gt;0,AU$5,"")</f>
        <v xml:space="preserve">LUK, HNK, CLN, NTS, DGT, NTD, ONT, SON, </v>
      </c>
      <c r="L69" s="413" t="str">
        <f>IF(M69="","",$M$5&amp;":"&amp;M69&amp;";")&amp;IF(N69="","",$N$5&amp;":"&amp;N69&amp;";")&amp;IF(O69="","",$O$5&amp;":"&amp;O69&amp;";")&amp;IF(P69="","",$P$5&amp;":"&amp;P69&amp;";")&amp;IF(Q69="","",$Q$5&amp;":"&amp;Q69&amp;";")&amp;IF(R69="","",$R$5&amp;":"&amp;R69&amp;";")&amp;IF(S69="","",$S$5&amp;":"&amp;S69&amp;";")&amp;IF(T69="","",$T$5&amp;":"&amp;T69&amp;";")&amp;IF(U69="","",$U$5&amp;":"&amp;U69&amp;";")&amp;IF(V69="","",$V$5&amp;":"&amp;V69&amp;";")&amp;IF(W69="","",$W$5&amp;":"&amp;W69&amp;";")&amp;IF(X69="","",$X$5&amp;":"&amp;X69&amp;";")&amp;IF(Y69="","",$Y$5&amp;":"&amp;Y69&amp;";")&amp;IF(Z69="","",$Z$5&amp;":"&amp;Z69&amp;";")&amp;IF(AA69="","",$AA$5&amp;":"&amp;AA69&amp;";")&amp;IF(AB69="","",$AB$5&amp;":"&amp;AB69&amp;";")&amp;IF(AC69="","",$AC$5&amp;":"&amp;AC69&amp;";")&amp;IF(AD69="","",$AD$5&amp;":"&amp;AD69&amp;";")&amp;IF(AE69="","",$AE$5&amp;":"&amp;AE69&amp;";")&amp;IF(AF69="","",$AF$5&amp;":"&amp;AF69&amp;";")&amp;IF(AG69="","",$AG$5&amp;":"&amp;AG69&amp;";")&amp;IF(AH69="","",$AH$5&amp;":"&amp;AH69&amp;";")&amp;IF(AI69="","",$AI$5&amp;":"&amp;AI69&amp;";")&amp;IF(AJ69="","",$AJ$5&amp;":"&amp;AJ69&amp;";")&amp;IF(AK69="","",$AK$5&amp;":"&amp;AK69&amp;";")&amp;IF(AL69="","",$AL$5&amp;":"&amp;AL69&amp;";")&amp;IF(AM69="","",$AM$5&amp;":"&amp;AM69&amp;";")&amp;IF(AN69="","",$AN$5&amp;":"&amp;AN69&amp;";")&amp;IF(AO69="","",$AO$5&amp;":"&amp;AO69&amp;";")&amp;IF(AP69="","",$AP$5&amp;":"&amp;AP69&amp;";")&amp;IF(AQ69="","",$AQ$5&amp;":"&amp;AQ69&amp;";")&amp;IF(AR69="","",$AR$5&amp;":"&amp;AR69&amp;";")&amp;IF(AS69="","",$AS$5&amp;":"&amp;AS69&amp;";")&amp;IF(AT69="","",$AT$5&amp;":"&amp;AT69&amp;";")&amp;IF(AU69="","",$AU$5&amp;":"&amp;AU69&amp;";")</f>
        <v>LUK:1,34;HNK:1,95;CLN:2,07;NTS:21,53;DGT:4,94;NTD:0,08;ONT:12,92;SON:6,97;</v>
      </c>
      <c r="M69" s="351"/>
      <c r="N69" s="351">
        <v>1.34</v>
      </c>
      <c r="O69" s="351">
        <v>1.95</v>
      </c>
      <c r="P69" s="351">
        <v>2.0700000000000003</v>
      </c>
      <c r="Q69" s="351">
        <v>21.53</v>
      </c>
      <c r="R69" s="351"/>
      <c r="S69" s="351"/>
      <c r="T69" s="351"/>
      <c r="U69" s="351"/>
      <c r="V69" s="351"/>
      <c r="W69" s="351">
        <v>4.9399999999999995</v>
      </c>
      <c r="X69" s="351"/>
      <c r="Y69" s="351"/>
      <c r="Z69" s="351"/>
      <c r="AA69" s="351"/>
      <c r="AB69" s="351"/>
      <c r="AC69" s="351"/>
      <c r="AD69" s="351"/>
      <c r="AE69" s="351"/>
      <c r="AF69" s="351"/>
      <c r="AG69" s="351"/>
      <c r="AH69" s="351">
        <v>0.08</v>
      </c>
      <c r="AI69" s="351"/>
      <c r="AJ69" s="351"/>
      <c r="AK69" s="351"/>
      <c r="AL69" s="351">
        <v>12.92</v>
      </c>
      <c r="AM69" s="351"/>
      <c r="AN69" s="351"/>
      <c r="AO69" s="351"/>
      <c r="AP69" s="351"/>
      <c r="AQ69" s="351">
        <v>6.97</v>
      </c>
      <c r="AR69" s="351"/>
      <c r="AS69" s="351"/>
      <c r="AT69" s="351"/>
      <c r="AU69" s="351"/>
      <c r="AV69" s="338" t="s">
        <v>295</v>
      </c>
      <c r="AW69" s="338" t="s">
        <v>295</v>
      </c>
      <c r="AX69" s="351"/>
      <c r="AY69" s="260"/>
      <c r="AZ69" s="181"/>
      <c r="BA69" s="351"/>
      <c r="BB69" s="351"/>
      <c r="BC69" s="609"/>
      <c r="BD69" s="370"/>
      <c r="BE69" s="370"/>
      <c r="BF69" s="370" t="s">
        <v>263</v>
      </c>
      <c r="BG69" s="370"/>
      <c r="BH69" s="351"/>
    </row>
    <row r="70" spans="1:62" ht="36" customHeight="1">
      <c r="A70" s="611"/>
      <c r="B70" s="604"/>
      <c r="C70" s="605"/>
      <c r="D70" s="605"/>
      <c r="E70" s="612"/>
      <c r="F70" s="351">
        <v>20.48</v>
      </c>
      <c r="G70" s="414">
        <f>SUM(M70:AR70)</f>
        <v>20.48</v>
      </c>
      <c r="H70" s="413" t="s">
        <v>1145</v>
      </c>
      <c r="I70" s="413" t="s">
        <v>1145</v>
      </c>
      <c r="J70" s="413"/>
      <c r="K70" s="413" t="str">
        <f>IF(M70&lt;&gt;0,$M$5&amp;", ","")&amp;IF(N70&lt;&gt;0,$N$5&amp;", ","")&amp;IF(O70&lt;&gt;0,O$5&amp;", ","")&amp;IF(P70&lt;&gt;0,P$5&amp;", ","")&amp;IF(Q70&lt;&gt;0,Q$5&amp;", ","")&amp;IF(R70&lt;&gt;0,R$5&amp;", ","")&amp;IF(S70&lt;&gt;0,S$5&amp;", ","")&amp;IF(T70&lt;&gt;0,T$5&amp;", ","")&amp;IF(U70&lt;&gt;0,U$5&amp;", ","")&amp;IF(V70&lt;&gt;0,V$5&amp;", ","")&amp;IF(W70&lt;&gt;0,W$5&amp;", ","")&amp;IF(X70&lt;&gt;0,X$5&amp;", ","")&amp;IF(Y70&lt;&gt;0,Y$5&amp;", ","")&amp;IF(Z70&lt;&gt;0,Z$5&amp;", ","")&amp;IF(AA70&lt;&gt;0,AA$5&amp;", ","")&amp;IF(AB70&lt;&gt;0,AB$5&amp;", ","")&amp;IF(AC70&lt;&gt;0,AC$5&amp;", ","")&amp;IF(AD70&lt;&gt;0,AD$5&amp;", ","")&amp;IF(AE70&lt;&gt;0,AE$5&amp;", ","")&amp;IF(AF70&lt;&gt;0,AF$5&amp;", ","")&amp;IF(AG70&lt;&gt;0,AG$5&amp;", ","")&amp;IF(AH70&lt;&gt;0,AH$5&amp;", ","")&amp;IF(AI70&lt;&gt;0,AI$5&amp;", ","")&amp;IF(AJ70&lt;&gt;0,AJ$5&amp;", ","")&amp;IF(AK70&lt;&gt;0,AK$5&amp;", ","")&amp;IF(AL70&lt;&gt;0,AL$5&amp;", ","")&amp;IF(AM70&lt;&gt;0,AM$5&amp;", ","")&amp;IF(AN70&lt;&gt;0,AN$5&amp;", ","")&amp;IF(AO70&lt;&gt;0,AO$5&amp;", ","")&amp;IF(AP70&lt;&gt;0,AP$5&amp;", ","")&amp;IF(AQ70&lt;&gt;0,AQ$5&amp;", ","")&amp;IF(AR70&lt;&gt;0,AR$5,"")&amp;IF(AS70&lt;&gt;0,AS$5,"")&amp;IF(AT70&lt;&gt;0,AT$5,"")&amp;IF(AU70&lt;&gt;0,AU$5,"")</f>
        <v xml:space="preserve">CLN, ONT, </v>
      </c>
      <c r="L70" s="413" t="str">
        <f>IF(M70="","",$M$5&amp;":"&amp;M70&amp;";")&amp;IF(N70="","",$N$5&amp;":"&amp;N70&amp;";")&amp;IF(O70="","",$O$5&amp;":"&amp;O70&amp;";")&amp;IF(P70="","",$P$5&amp;":"&amp;P70&amp;";")&amp;IF(Q70="","",$Q$5&amp;":"&amp;Q70&amp;";")&amp;IF(R70="","",$R$5&amp;":"&amp;R70&amp;";")&amp;IF(S70="","",$S$5&amp;":"&amp;S70&amp;";")&amp;IF(T70="","",$T$5&amp;":"&amp;T70&amp;";")&amp;IF(U70="","",$U$5&amp;":"&amp;U70&amp;";")&amp;IF(V70="","",$V$5&amp;":"&amp;V70&amp;";")&amp;IF(W70="","",$W$5&amp;":"&amp;W70&amp;";")&amp;IF(X70="","",$X$5&amp;":"&amp;X70&amp;";")&amp;IF(Y70="","",$Y$5&amp;":"&amp;Y70&amp;";")&amp;IF(Z70="","",$Z$5&amp;":"&amp;Z70&amp;";")&amp;IF(AA70="","",$AA$5&amp;":"&amp;AA70&amp;";")&amp;IF(AB70="","",$AB$5&amp;":"&amp;AB70&amp;";")&amp;IF(AC70="","",$AC$5&amp;":"&amp;AC70&amp;";")&amp;IF(AD70="","",$AD$5&amp;":"&amp;AD70&amp;";")&amp;IF(AE70="","",$AE$5&amp;":"&amp;AE70&amp;";")&amp;IF(AF70="","",$AF$5&amp;":"&amp;AF70&amp;";")&amp;IF(AG70="","",$AG$5&amp;":"&amp;AG70&amp;";")&amp;IF(AH70="","",$AH$5&amp;":"&amp;AH70&amp;";")&amp;IF(AI70="","",$AI$5&amp;":"&amp;AI70&amp;";")&amp;IF(AJ70="","",$AJ$5&amp;":"&amp;AJ70&amp;";")&amp;IF(AK70="","",$AK$5&amp;":"&amp;AK70&amp;";")&amp;IF(AL70="","",$AL$5&amp;":"&amp;AL70&amp;";")&amp;IF(AM70="","",$AM$5&amp;":"&amp;AM70&amp;";")&amp;IF(AN70="","",$AN$5&amp;":"&amp;AN70&amp;";")&amp;IF(AO70="","",$AO$5&amp;":"&amp;AO70&amp;";")&amp;IF(AP70="","",$AP$5&amp;":"&amp;AP70&amp;";")&amp;IF(AQ70="","",$AQ$5&amp;":"&amp;AQ70&amp;";")&amp;IF(AR70="","",$AR$5&amp;":"&amp;AR70&amp;";")&amp;IF(AS70="","",$AS$5&amp;":"&amp;AS70&amp;";")&amp;IF(AT70="","",$AT$5&amp;":"&amp;AT70&amp;";")&amp;IF(AU70="","",$AU$5&amp;":"&amp;AU70&amp;";")</f>
        <v>CLN:6,15;ONT:14,33;</v>
      </c>
      <c r="M70" s="351"/>
      <c r="N70" s="351"/>
      <c r="O70" s="351"/>
      <c r="P70" s="351">
        <v>6.15</v>
      </c>
      <c r="Q70" s="351"/>
      <c r="R70" s="351"/>
      <c r="S70" s="351"/>
      <c r="T70" s="351"/>
      <c r="U70" s="351"/>
      <c r="V70" s="351"/>
      <c r="W70" s="351"/>
      <c r="X70" s="351"/>
      <c r="Y70" s="351"/>
      <c r="Z70" s="351"/>
      <c r="AA70" s="351"/>
      <c r="AB70" s="351"/>
      <c r="AC70" s="351"/>
      <c r="AD70" s="351"/>
      <c r="AE70" s="351"/>
      <c r="AF70" s="351"/>
      <c r="AG70" s="351"/>
      <c r="AH70" s="351"/>
      <c r="AI70" s="351"/>
      <c r="AJ70" s="351"/>
      <c r="AK70" s="351"/>
      <c r="AL70" s="351">
        <v>14.33</v>
      </c>
      <c r="AM70" s="351"/>
      <c r="AN70" s="351"/>
      <c r="AO70" s="351"/>
      <c r="AP70" s="351"/>
      <c r="AQ70" s="351"/>
      <c r="AR70" s="351"/>
      <c r="AS70" s="351"/>
      <c r="AT70" s="351"/>
      <c r="AU70" s="351"/>
      <c r="AV70" s="351" t="s">
        <v>292</v>
      </c>
      <c r="AW70" s="351" t="s">
        <v>292</v>
      </c>
      <c r="AX70" s="351" t="s">
        <v>413</v>
      </c>
      <c r="AY70" s="260" t="s">
        <v>413</v>
      </c>
      <c r="AZ70" s="181" t="s">
        <v>1146</v>
      </c>
      <c r="BA70" s="351"/>
      <c r="BB70" s="351"/>
      <c r="BC70" s="609"/>
      <c r="BD70" s="370"/>
      <c r="BE70" s="370"/>
      <c r="BF70" s="370" t="s">
        <v>263</v>
      </c>
      <c r="BG70" s="370"/>
      <c r="BH70" s="351"/>
    </row>
    <row r="71" spans="1:62" ht="36" customHeight="1">
      <c r="A71" s="611"/>
      <c r="B71" s="604"/>
      <c r="C71" s="605"/>
      <c r="D71" s="605"/>
      <c r="E71" s="612"/>
      <c r="F71" s="351">
        <v>25.9</v>
      </c>
      <c r="G71" s="414">
        <f>SUM(M71:AR71)</f>
        <v>25.9</v>
      </c>
      <c r="H71" s="413" t="s">
        <v>1117</v>
      </c>
      <c r="I71" s="413" t="s">
        <v>1117</v>
      </c>
      <c r="J71" s="413"/>
      <c r="K71" s="413" t="str">
        <f>IF(M71&lt;&gt;0,$M$5&amp;", ","")&amp;IF(N71&lt;&gt;0,$N$5&amp;", ","")&amp;IF(O71&lt;&gt;0,O$5&amp;", ","")&amp;IF(P71&lt;&gt;0,P$5&amp;", ","")&amp;IF(Q71&lt;&gt;0,Q$5&amp;", ","")&amp;IF(R71&lt;&gt;0,R$5&amp;", ","")&amp;IF(S71&lt;&gt;0,S$5&amp;", ","")&amp;IF(T71&lt;&gt;0,T$5&amp;", ","")&amp;IF(U71&lt;&gt;0,U$5&amp;", ","")&amp;IF(V71&lt;&gt;0,V$5&amp;", ","")&amp;IF(W71&lt;&gt;0,W$5&amp;", ","")&amp;IF(X71&lt;&gt;0,X$5&amp;", ","")&amp;IF(Y71&lt;&gt;0,Y$5&amp;", ","")&amp;IF(Z71&lt;&gt;0,Z$5&amp;", ","")&amp;IF(AA71&lt;&gt;0,AA$5&amp;", ","")&amp;IF(AB71&lt;&gt;0,AB$5&amp;", ","")&amp;IF(AC71&lt;&gt;0,AC$5&amp;", ","")&amp;IF(AD71&lt;&gt;0,AD$5&amp;", ","")&amp;IF(AE71&lt;&gt;0,AE$5&amp;", ","")&amp;IF(AF71&lt;&gt;0,AF$5&amp;", ","")&amp;IF(AG71&lt;&gt;0,AG$5&amp;", ","")&amp;IF(AH71&lt;&gt;0,AH$5&amp;", ","")&amp;IF(AI71&lt;&gt;0,AI$5&amp;", ","")&amp;IF(AJ71&lt;&gt;0,AJ$5&amp;", ","")&amp;IF(AK71&lt;&gt;0,AK$5&amp;", ","")&amp;IF(AL71&lt;&gt;0,AL$5&amp;", ","")&amp;IF(AM71&lt;&gt;0,AM$5&amp;", ","")&amp;IF(AN71&lt;&gt;0,AN$5&amp;", ","")&amp;IF(AO71&lt;&gt;0,AO$5&amp;", ","")&amp;IF(AP71&lt;&gt;0,AP$5&amp;", ","")&amp;IF(AQ71&lt;&gt;0,AQ$5&amp;", ","")&amp;IF(AR71&lt;&gt;0,AR$5,"")&amp;IF(AS71&lt;&gt;0,AS$5,"")&amp;IF(AT71&lt;&gt;0,AT$5,"")&amp;IF(AU71&lt;&gt;0,AU$5,"")</f>
        <v xml:space="preserve">LUC, HNK, ONT, </v>
      </c>
      <c r="L71" s="413" t="str">
        <f>IF(M71="","",$M$5&amp;":"&amp;M71&amp;";")&amp;IF(N71="","",$N$5&amp;":"&amp;N71&amp;";")&amp;IF(O71="","",$O$5&amp;":"&amp;O71&amp;";")&amp;IF(P71="","",$P$5&amp;":"&amp;P71&amp;";")&amp;IF(Q71="","",$Q$5&amp;":"&amp;Q71&amp;";")&amp;IF(R71="","",$R$5&amp;":"&amp;R71&amp;";")&amp;IF(S71="","",$S$5&amp;":"&amp;S71&amp;";")&amp;IF(T71="","",$T$5&amp;":"&amp;T71&amp;";")&amp;IF(U71="","",$U$5&amp;":"&amp;U71&amp;";")&amp;IF(V71="","",$V$5&amp;":"&amp;V71&amp;";")&amp;IF(W71="","",$W$5&amp;":"&amp;W71&amp;";")&amp;IF(X71="","",$X$5&amp;":"&amp;X71&amp;";")&amp;IF(Y71="","",$Y$5&amp;":"&amp;Y71&amp;";")&amp;IF(Z71="","",$Z$5&amp;":"&amp;Z71&amp;";")&amp;IF(AA71="","",$AA$5&amp;":"&amp;AA71&amp;";")&amp;IF(AB71="","",$AB$5&amp;":"&amp;AB71&amp;";")&amp;IF(AC71="","",$AC$5&amp;":"&amp;AC71&amp;";")&amp;IF(AD71="","",$AD$5&amp;":"&amp;AD71&amp;";")&amp;IF(AE71="","",$AE$5&amp;":"&amp;AE71&amp;";")&amp;IF(AF71="","",$AF$5&amp;":"&amp;AF71&amp;";")&amp;IF(AG71="","",$AG$5&amp;":"&amp;AG71&amp;";")&amp;IF(AH71="","",$AH$5&amp;":"&amp;AH71&amp;";")&amp;IF(AI71="","",$AI$5&amp;":"&amp;AI71&amp;";")&amp;IF(AJ71="","",$AJ$5&amp;":"&amp;AJ71&amp;";")&amp;IF(AK71="","",$AK$5&amp;":"&amp;AK71&amp;";")&amp;IF(AL71="","",$AL$5&amp;":"&amp;AL71&amp;";")&amp;IF(AM71="","",$AM$5&amp;":"&amp;AM71&amp;";")&amp;IF(AN71="","",$AN$5&amp;":"&amp;AN71&amp;";")&amp;IF(AO71="","",$AO$5&amp;":"&amp;AO71&amp;";")&amp;IF(AP71="","",$AP$5&amp;":"&amp;AP71&amp;";")&amp;IF(AQ71="","",$AQ$5&amp;":"&amp;AQ71&amp;";")&amp;IF(AR71="","",$AR$5&amp;":"&amp;AR71&amp;";")&amp;IF(AS71="","",$AS$5&amp;":"&amp;AS71&amp;";")&amp;IF(AT71="","",$AT$5&amp;":"&amp;AT71&amp;";")&amp;IF(AU71="","",$AU$5&amp;":"&amp;AU71&amp;";")</f>
        <v>LUC:5,18;HNK:5,18;ONT:15,54;</v>
      </c>
      <c r="M71" s="351">
        <v>5.18</v>
      </c>
      <c r="N71" s="351"/>
      <c r="O71" s="351">
        <v>5.18</v>
      </c>
      <c r="P71" s="351"/>
      <c r="Q71" s="351"/>
      <c r="R71" s="351"/>
      <c r="S71" s="351"/>
      <c r="T71" s="351"/>
      <c r="U71" s="351"/>
      <c r="V71" s="351"/>
      <c r="W71" s="351"/>
      <c r="X71" s="351"/>
      <c r="Y71" s="351"/>
      <c r="Z71" s="351"/>
      <c r="AA71" s="351"/>
      <c r="AB71" s="351"/>
      <c r="AC71" s="351"/>
      <c r="AD71" s="351"/>
      <c r="AE71" s="351"/>
      <c r="AF71" s="351"/>
      <c r="AG71" s="351"/>
      <c r="AH71" s="351"/>
      <c r="AI71" s="351"/>
      <c r="AJ71" s="351"/>
      <c r="AK71" s="351"/>
      <c r="AL71" s="351">
        <v>15.54</v>
      </c>
      <c r="AM71" s="351"/>
      <c r="AN71" s="351"/>
      <c r="AO71" s="351"/>
      <c r="AP71" s="351"/>
      <c r="AQ71" s="351"/>
      <c r="AR71" s="351"/>
      <c r="AS71" s="351"/>
      <c r="AT71" s="351"/>
      <c r="AU71" s="351"/>
      <c r="AV71" s="351" t="s">
        <v>300</v>
      </c>
      <c r="AW71" s="351" t="s">
        <v>300</v>
      </c>
      <c r="AX71" s="351"/>
      <c r="AY71" s="260"/>
      <c r="AZ71" s="181"/>
      <c r="BA71" s="351"/>
      <c r="BB71" s="351"/>
      <c r="BC71" s="610"/>
      <c r="BD71" s="365"/>
      <c r="BE71" s="365"/>
      <c r="BF71" s="365" t="s">
        <v>263</v>
      </c>
      <c r="BG71" s="365"/>
      <c r="BH71" s="351"/>
    </row>
    <row r="72" spans="1:62" ht="78" customHeight="1">
      <c r="A72" s="611">
        <f>SUBTOTAL(3,C$11:$C72)</f>
        <v>39</v>
      </c>
      <c r="B72" s="604" t="s">
        <v>414</v>
      </c>
      <c r="C72" s="605" t="s">
        <v>42</v>
      </c>
      <c r="D72" s="605">
        <v>75.5</v>
      </c>
      <c r="E72" s="605">
        <v>33.369999999999997</v>
      </c>
      <c r="F72" s="351">
        <f>F73+F74+F75</f>
        <v>42.129999999999995</v>
      </c>
      <c r="G72" s="414" t="s">
        <v>1147</v>
      </c>
      <c r="H72" s="413" t="s">
        <v>1148</v>
      </c>
      <c r="I72" s="413" t="s">
        <v>1149</v>
      </c>
      <c r="J72" s="413"/>
      <c r="K72" s="413"/>
      <c r="L72" s="413"/>
      <c r="M72" s="351"/>
      <c r="N72" s="351"/>
      <c r="O72" s="351"/>
      <c r="P72" s="351"/>
      <c r="Q72" s="351"/>
      <c r="R72" s="351"/>
      <c r="S72" s="351"/>
      <c r="T72" s="351"/>
      <c r="U72" s="351"/>
      <c r="V72" s="351"/>
      <c r="W72" s="351"/>
      <c r="X72" s="351"/>
      <c r="Y72" s="351"/>
      <c r="Z72" s="351"/>
      <c r="AA72" s="351"/>
      <c r="AB72" s="351"/>
      <c r="AC72" s="351"/>
      <c r="AD72" s="351"/>
      <c r="AE72" s="351"/>
      <c r="AF72" s="351"/>
      <c r="AG72" s="351"/>
      <c r="AH72" s="351"/>
      <c r="AI72" s="351"/>
      <c r="AJ72" s="351"/>
      <c r="AK72" s="351"/>
      <c r="AL72" s="351"/>
      <c r="AM72" s="351"/>
      <c r="AN72" s="351"/>
      <c r="AO72" s="351"/>
      <c r="AP72" s="351"/>
      <c r="AQ72" s="351"/>
      <c r="AR72" s="351"/>
      <c r="AS72" s="351"/>
      <c r="AT72" s="351"/>
      <c r="AU72" s="351"/>
      <c r="AV72" s="351" t="s">
        <v>1150</v>
      </c>
      <c r="AW72" s="351"/>
      <c r="AX72" s="351" t="s">
        <v>1151</v>
      </c>
      <c r="AY72" s="260"/>
      <c r="AZ72" s="181"/>
      <c r="BA72" s="351"/>
      <c r="BB72" s="351"/>
      <c r="BC72" s="370"/>
      <c r="BD72" s="370"/>
      <c r="BE72" s="370"/>
      <c r="BF72" s="370"/>
      <c r="BG72" s="370"/>
      <c r="BH72" s="351"/>
    </row>
    <row r="73" spans="1:62" ht="52.75" customHeight="1">
      <c r="A73" s="611"/>
      <c r="B73" s="604"/>
      <c r="C73" s="605"/>
      <c r="D73" s="605"/>
      <c r="E73" s="605"/>
      <c r="F73" s="351">
        <v>13.74</v>
      </c>
      <c r="G73" s="414">
        <f>SUM(M73:AR73)</f>
        <v>13.74</v>
      </c>
      <c r="H73" s="413" t="s">
        <v>1018</v>
      </c>
      <c r="I73" s="413" t="s">
        <v>1018</v>
      </c>
      <c r="J73" s="413" t="s">
        <v>1018</v>
      </c>
      <c r="K73" s="413" t="str">
        <f>IF(M73&lt;&gt;0,$M$5&amp;", ","")&amp;IF(N73&lt;&gt;0,$N$5&amp;", ","")&amp;IF(O73&lt;&gt;0,O$5&amp;", ","")&amp;IF(P73&lt;&gt;0,P$5&amp;", ","")&amp;IF(Q73&lt;&gt;0,Q$5&amp;", ","")&amp;IF(R73&lt;&gt;0,R$5&amp;", ","")&amp;IF(S73&lt;&gt;0,S$5&amp;", ","")&amp;IF(T73&lt;&gt;0,T$5&amp;", ","")&amp;IF(U73&lt;&gt;0,U$5&amp;", ","")&amp;IF(V73&lt;&gt;0,V$5&amp;", ","")&amp;IF(W73&lt;&gt;0,W$5&amp;", ","")&amp;IF(X73&lt;&gt;0,X$5&amp;", ","")&amp;IF(Y73&lt;&gt;0,Y$5&amp;", ","")&amp;IF(Z73&lt;&gt;0,Z$5&amp;", ","")&amp;IF(AA73&lt;&gt;0,AA$5&amp;", ","")&amp;IF(AB73&lt;&gt;0,AB$5&amp;", ","")&amp;IF(AC73&lt;&gt;0,AC$5&amp;", ","")&amp;IF(AD73&lt;&gt;0,AD$5&amp;", ","")&amp;IF(AE73&lt;&gt;0,AE$5&amp;", ","")&amp;IF(AF73&lt;&gt;0,AF$5&amp;", ","")&amp;IF(AG73&lt;&gt;0,AG$5&amp;", ","")&amp;IF(AH73&lt;&gt;0,AH$5&amp;", ","")&amp;IF(AI73&lt;&gt;0,AI$5&amp;", ","")&amp;IF(AJ73&lt;&gt;0,AJ$5&amp;", ","")&amp;IF(AK73&lt;&gt;0,AK$5&amp;", ","")&amp;IF(AL73&lt;&gt;0,AL$5&amp;", ","")&amp;IF(AM73&lt;&gt;0,AM$5&amp;", ","")&amp;IF(AN73&lt;&gt;0,AN$5&amp;", ","")&amp;IF(AO73&lt;&gt;0,AO$5&amp;", ","")&amp;IF(AP73&lt;&gt;0,AP$5&amp;", ","")&amp;IF(AQ73&lt;&gt;0,AQ$5&amp;", ","")&amp;IF(AR73&lt;&gt;0,AR$5,"")&amp;IF(AS73&lt;&gt;0,AS$5,"")&amp;IF(AT73&lt;&gt;0,AT$5,"")&amp;IF(AU73&lt;&gt;0,AU$5,"")</f>
        <v xml:space="preserve">DGT, </v>
      </c>
      <c r="L73" s="413" t="str">
        <f>IF(M73="","",$M$5&amp;":"&amp;M73&amp;";")&amp;IF(N73="","",$N$5&amp;":"&amp;N73&amp;";")&amp;IF(O73="","",$O$5&amp;":"&amp;O73&amp;";")&amp;IF(P73="","",$P$5&amp;":"&amp;P73&amp;";")&amp;IF(Q73="","",$Q$5&amp;":"&amp;Q73&amp;";")&amp;IF(R73="","",$R$5&amp;":"&amp;R73&amp;";")&amp;IF(S73="","",$S$5&amp;":"&amp;S73&amp;";")&amp;IF(T73="","",$T$5&amp;":"&amp;T73&amp;";")&amp;IF(U73="","",$U$5&amp;":"&amp;U73&amp;";")&amp;IF(V73="","",$V$5&amp;":"&amp;V73&amp;";")&amp;IF(W73="","",$W$5&amp;":"&amp;W73&amp;";")&amp;IF(X73="","",$X$5&amp;":"&amp;X73&amp;";")&amp;IF(Y73="","",$Y$5&amp;":"&amp;Y73&amp;";")&amp;IF(Z73="","",$Z$5&amp;":"&amp;Z73&amp;";")&amp;IF(AA73="","",$AA$5&amp;":"&amp;AA73&amp;";")&amp;IF(AB73="","",$AB$5&amp;":"&amp;AB73&amp;";")&amp;IF(AC73="","",$AC$5&amp;":"&amp;AC73&amp;";")&amp;IF(AD73="","",$AD$5&amp;":"&amp;AD73&amp;";")&amp;IF(AE73="","",$AE$5&amp;":"&amp;AE73&amp;";")&amp;IF(AF73="","",$AF$5&amp;":"&amp;AF73&amp;";")&amp;IF(AG73="","",$AG$5&amp;":"&amp;AG73&amp;";")&amp;IF(AH73="","",$AH$5&amp;":"&amp;AH73&amp;";")&amp;IF(AI73="","",$AI$5&amp;":"&amp;AI73&amp;";")&amp;IF(AJ73="","",$AJ$5&amp;":"&amp;AJ73&amp;";")&amp;IF(AK73="","",$AK$5&amp;":"&amp;AK73&amp;";")&amp;IF(AL73="","",$AL$5&amp;":"&amp;AL73&amp;";")&amp;IF(AM73="","",$AM$5&amp;":"&amp;AM73&amp;";")&amp;IF(AN73="","",$AN$5&amp;":"&amp;AN73&amp;";")&amp;IF(AO73="","",$AO$5&amp;":"&amp;AO73&amp;";")&amp;IF(AP73="","",$AP$5&amp;":"&amp;AP73&amp;";")&amp;IF(AQ73="","",$AQ$5&amp;":"&amp;AQ73&amp;";")&amp;IF(AR73="","",$AR$5&amp;":"&amp;AR73&amp;";")&amp;IF(AS73="","",$AS$5&amp;":"&amp;AS73&amp;";")&amp;IF(AT73="","",$AT$5&amp;":"&amp;AT73&amp;";")&amp;IF(AU73="","",$AU$5&amp;":"&amp;AU73&amp;";")</f>
        <v>DGT:13,74;</v>
      </c>
      <c r="M73" s="351"/>
      <c r="N73" s="351"/>
      <c r="O73" s="351"/>
      <c r="P73" s="351"/>
      <c r="Q73" s="351"/>
      <c r="R73" s="351"/>
      <c r="S73" s="351"/>
      <c r="T73" s="351"/>
      <c r="U73" s="351"/>
      <c r="V73" s="351"/>
      <c r="W73" s="351">
        <v>13.74</v>
      </c>
      <c r="X73" s="351"/>
      <c r="Y73" s="351"/>
      <c r="Z73" s="351"/>
      <c r="AA73" s="351"/>
      <c r="AB73" s="351"/>
      <c r="AC73" s="351"/>
      <c r="AD73" s="351"/>
      <c r="AE73" s="351"/>
      <c r="AF73" s="351"/>
      <c r="AG73" s="351"/>
      <c r="AH73" s="351"/>
      <c r="AI73" s="351"/>
      <c r="AJ73" s="351"/>
      <c r="AK73" s="351"/>
      <c r="AL73" s="351"/>
      <c r="AM73" s="351"/>
      <c r="AN73" s="351"/>
      <c r="AO73" s="351"/>
      <c r="AP73" s="351"/>
      <c r="AQ73" s="351"/>
      <c r="AR73" s="351"/>
      <c r="AS73" s="351"/>
      <c r="AT73" s="351"/>
      <c r="AU73" s="351"/>
      <c r="AV73" s="338" t="s">
        <v>295</v>
      </c>
      <c r="AW73" s="338" t="s">
        <v>295</v>
      </c>
      <c r="AX73" s="350" t="s">
        <v>332</v>
      </c>
      <c r="AY73" s="356" t="s">
        <v>332</v>
      </c>
      <c r="AZ73" s="181" t="s">
        <v>1152</v>
      </c>
      <c r="BA73" s="351"/>
      <c r="BB73" s="351"/>
      <c r="BC73" s="608" t="s">
        <v>267</v>
      </c>
      <c r="BD73" s="364"/>
      <c r="BE73" s="364"/>
      <c r="BF73" s="364"/>
      <c r="BG73" s="364" t="s">
        <v>263</v>
      </c>
      <c r="BH73" s="351"/>
    </row>
    <row r="74" spans="1:62" ht="42" customHeight="1">
      <c r="A74" s="611"/>
      <c r="B74" s="604"/>
      <c r="C74" s="605"/>
      <c r="D74" s="605"/>
      <c r="E74" s="605"/>
      <c r="F74" s="351">
        <v>18.45</v>
      </c>
      <c r="G74" s="414">
        <f>SUM(M74:AR74)</f>
        <v>18.45</v>
      </c>
      <c r="H74" s="413" t="s">
        <v>42</v>
      </c>
      <c r="I74" s="413" t="s">
        <v>42</v>
      </c>
      <c r="J74" s="413"/>
      <c r="K74" s="413" t="str">
        <f>IF(M74&lt;&gt;0,$M$5&amp;", ","")&amp;IF(N74&lt;&gt;0,$N$5&amp;", ","")&amp;IF(O74&lt;&gt;0,O$5&amp;", ","")&amp;IF(P74&lt;&gt;0,P$5&amp;", ","")&amp;IF(Q74&lt;&gt;0,Q$5&amp;", ","")&amp;IF(R74&lt;&gt;0,R$5&amp;", ","")&amp;IF(S74&lt;&gt;0,S$5&amp;", ","")&amp;IF(T74&lt;&gt;0,T$5&amp;", ","")&amp;IF(U74&lt;&gt;0,U$5&amp;", ","")&amp;IF(V74&lt;&gt;0,V$5&amp;", ","")&amp;IF(W74&lt;&gt;0,W$5&amp;", ","")&amp;IF(X74&lt;&gt;0,X$5&amp;", ","")&amp;IF(Y74&lt;&gt;0,Y$5&amp;", ","")&amp;IF(Z74&lt;&gt;0,Z$5&amp;", ","")&amp;IF(AA74&lt;&gt;0,AA$5&amp;", ","")&amp;IF(AB74&lt;&gt;0,AB$5&amp;", ","")&amp;IF(AC74&lt;&gt;0,AC$5&amp;", ","")&amp;IF(AD74&lt;&gt;0,AD$5&amp;", ","")&amp;IF(AE74&lt;&gt;0,AE$5&amp;", ","")&amp;IF(AF74&lt;&gt;0,AF$5&amp;", ","")&amp;IF(AG74&lt;&gt;0,AG$5&amp;", ","")&amp;IF(AH74&lt;&gt;0,AH$5&amp;", ","")&amp;IF(AI74&lt;&gt;0,AI$5&amp;", ","")&amp;IF(AJ74&lt;&gt;0,AJ$5&amp;", ","")&amp;IF(AK74&lt;&gt;0,AK$5&amp;", ","")&amp;IF(AL74&lt;&gt;0,AL$5&amp;", ","")&amp;IF(AM74&lt;&gt;0,AM$5&amp;", ","")&amp;IF(AN74&lt;&gt;0,AN$5&amp;", ","")&amp;IF(AO74&lt;&gt;0,AO$5&amp;", ","")&amp;IF(AP74&lt;&gt;0,AP$5&amp;", ","")&amp;IF(AQ74&lt;&gt;0,AQ$5&amp;", ","")&amp;IF(AR74&lt;&gt;0,AR$5,"")&amp;IF(AS74&lt;&gt;0,AS$5,"")&amp;IF(AT74&lt;&gt;0,AT$5,"")&amp;IF(AU74&lt;&gt;0,AU$5,"")</f>
        <v xml:space="preserve">DGT, </v>
      </c>
      <c r="L74" s="413" t="str">
        <f>IF(M74="","",$M$5&amp;":"&amp;M74&amp;";")&amp;IF(N74="","",$N$5&amp;":"&amp;N74&amp;";")&amp;IF(O74="","",$O$5&amp;":"&amp;O74&amp;";")&amp;IF(P74="","",$P$5&amp;":"&amp;P74&amp;";")&amp;IF(Q74="","",$Q$5&amp;":"&amp;Q74&amp;";")&amp;IF(R74="","",$R$5&amp;":"&amp;R74&amp;";")&amp;IF(S74="","",$S$5&amp;":"&amp;S74&amp;";")&amp;IF(T74="","",$T$5&amp;":"&amp;T74&amp;";")&amp;IF(U74="","",$U$5&amp;":"&amp;U74&amp;";")&amp;IF(V74="","",$V$5&amp;":"&amp;V74&amp;";")&amp;IF(W74="","",$W$5&amp;":"&amp;W74&amp;";")&amp;IF(X74="","",$X$5&amp;":"&amp;X74&amp;";")&amp;IF(Y74="","",$Y$5&amp;":"&amp;Y74&amp;";")&amp;IF(Z74="","",$Z$5&amp;":"&amp;Z74&amp;";")&amp;IF(AA74="","",$AA$5&amp;":"&amp;AA74&amp;";")&amp;IF(AB74="","",$AB$5&amp;":"&amp;AB74&amp;";")&amp;IF(AC74="","",$AC$5&amp;":"&amp;AC74&amp;";")&amp;IF(AD74="","",$AD$5&amp;":"&amp;AD74&amp;";")&amp;IF(AE74="","",$AE$5&amp;":"&amp;AE74&amp;";")&amp;IF(AF74="","",$AF$5&amp;":"&amp;AF74&amp;";")&amp;IF(AG74="","",$AG$5&amp;":"&amp;AG74&amp;";")&amp;IF(AH74="","",$AH$5&amp;":"&amp;AH74&amp;";")&amp;IF(AI74="","",$AI$5&amp;":"&amp;AI74&amp;";")&amp;IF(AJ74="","",$AJ$5&amp;":"&amp;AJ74&amp;";")&amp;IF(AK74="","",$AK$5&amp;":"&amp;AK74&amp;";")&amp;IF(AL74="","",$AL$5&amp;":"&amp;AL74&amp;";")&amp;IF(AM74="","",$AM$5&amp;":"&amp;AM74&amp;";")&amp;IF(AN74="","",$AN$5&amp;":"&amp;AN74&amp;";")&amp;IF(AO74="","",$AO$5&amp;":"&amp;AO74&amp;";")&amp;IF(AP74="","",$AP$5&amp;":"&amp;AP74&amp;";")&amp;IF(AQ74="","",$AQ$5&amp;":"&amp;AQ74&amp;";")&amp;IF(AR74="","",$AR$5&amp;":"&amp;AR74&amp;";")&amp;IF(AS74="","",$AS$5&amp;":"&amp;AS74&amp;";")&amp;IF(AT74="","",$AT$5&amp;":"&amp;AT74&amp;";")&amp;IF(AU74="","",$AU$5&amp;":"&amp;AU74&amp;";")</f>
        <v>DGT:18,45;</v>
      </c>
      <c r="M74" s="351"/>
      <c r="N74" s="351"/>
      <c r="O74" s="351"/>
      <c r="P74" s="351"/>
      <c r="Q74" s="351"/>
      <c r="R74" s="351"/>
      <c r="S74" s="351"/>
      <c r="T74" s="351"/>
      <c r="U74" s="351"/>
      <c r="V74" s="351"/>
      <c r="W74" s="351">
        <v>18.45</v>
      </c>
      <c r="X74" s="351"/>
      <c r="Y74" s="351"/>
      <c r="Z74" s="351"/>
      <c r="AA74" s="351"/>
      <c r="AB74" s="351"/>
      <c r="AC74" s="351"/>
      <c r="AD74" s="351"/>
      <c r="AE74" s="351"/>
      <c r="AF74" s="351"/>
      <c r="AG74" s="351"/>
      <c r="AH74" s="351"/>
      <c r="AI74" s="351"/>
      <c r="AJ74" s="351"/>
      <c r="AK74" s="351"/>
      <c r="AL74" s="351"/>
      <c r="AM74" s="351"/>
      <c r="AN74" s="351"/>
      <c r="AO74" s="351"/>
      <c r="AP74" s="351"/>
      <c r="AQ74" s="351"/>
      <c r="AR74" s="351"/>
      <c r="AS74" s="351"/>
      <c r="AT74" s="351"/>
      <c r="AU74" s="351"/>
      <c r="AV74" s="351" t="s">
        <v>292</v>
      </c>
      <c r="AW74" s="351" t="s">
        <v>292</v>
      </c>
      <c r="AX74" s="351" t="s">
        <v>415</v>
      </c>
      <c r="AY74" s="260" t="s">
        <v>415</v>
      </c>
      <c r="AZ74" s="181" t="s">
        <v>1153</v>
      </c>
      <c r="BA74" s="351"/>
      <c r="BB74" s="351"/>
      <c r="BC74" s="609"/>
      <c r="BD74" s="370"/>
      <c r="BE74" s="370"/>
      <c r="BF74" s="370" t="s">
        <v>263</v>
      </c>
      <c r="BG74" s="370"/>
      <c r="BH74" s="351"/>
    </row>
    <row r="75" spans="1:62" ht="67.25" customHeight="1">
      <c r="A75" s="611"/>
      <c r="B75" s="604"/>
      <c r="C75" s="605"/>
      <c r="D75" s="605"/>
      <c r="E75" s="605"/>
      <c r="F75" s="351">
        <v>9.94</v>
      </c>
      <c r="G75" s="414">
        <f>SUM(M75:AR75)</f>
        <v>9.94</v>
      </c>
      <c r="H75" s="413" t="s">
        <v>1149</v>
      </c>
      <c r="I75" s="413" t="s">
        <v>1149</v>
      </c>
      <c r="J75" s="413" t="s">
        <v>1149</v>
      </c>
      <c r="K75" s="413" t="str">
        <f>IF(M75&lt;&gt;0,$M$5&amp;", ","")&amp;IF(N75&lt;&gt;0,$N$5&amp;", ","")&amp;IF(O75&lt;&gt;0,O$5&amp;", ","")&amp;IF(P75&lt;&gt;0,P$5&amp;", ","")&amp;IF(Q75&lt;&gt;0,Q$5&amp;", ","")&amp;IF(R75&lt;&gt;0,R$5&amp;", ","")&amp;IF(S75&lt;&gt;0,S$5&amp;", ","")&amp;IF(T75&lt;&gt;0,T$5&amp;", ","")&amp;IF(U75&lt;&gt;0,U$5&amp;", ","")&amp;IF(V75&lt;&gt;0,V$5&amp;", ","")&amp;IF(W75&lt;&gt;0,W$5&amp;", ","")&amp;IF(X75&lt;&gt;0,X$5&amp;", ","")&amp;IF(Y75&lt;&gt;0,Y$5&amp;", ","")&amp;IF(Z75&lt;&gt;0,Z$5&amp;", ","")&amp;IF(AA75&lt;&gt;0,AA$5&amp;", ","")&amp;IF(AB75&lt;&gt;0,AB$5&amp;", ","")&amp;IF(AC75&lt;&gt;0,AC$5&amp;", ","")&amp;IF(AD75&lt;&gt;0,AD$5&amp;", ","")&amp;IF(AE75&lt;&gt;0,AE$5&amp;", ","")&amp;IF(AF75&lt;&gt;0,AF$5&amp;", ","")&amp;IF(AG75&lt;&gt;0,AG$5&amp;", ","")&amp;IF(AH75&lt;&gt;0,AH$5&amp;", ","")&amp;IF(AI75&lt;&gt;0,AI$5&amp;", ","")&amp;IF(AJ75&lt;&gt;0,AJ$5&amp;", ","")&amp;IF(AK75&lt;&gt;0,AK$5&amp;", ","")&amp;IF(AL75&lt;&gt;0,AL$5&amp;", ","")&amp;IF(AM75&lt;&gt;0,AM$5&amp;", ","")&amp;IF(AN75&lt;&gt;0,AN$5&amp;", ","")&amp;IF(AO75&lt;&gt;0,AO$5&amp;", ","")&amp;IF(AP75&lt;&gt;0,AP$5&amp;", ","")&amp;IF(AQ75&lt;&gt;0,AQ$5&amp;", ","")&amp;IF(AR75&lt;&gt;0,AR$5,"")&amp;IF(AS75&lt;&gt;0,AS$5,"")&amp;IF(AT75&lt;&gt;0,AT$5,"")&amp;IF(AU75&lt;&gt;0,AU$5,"")</f>
        <v xml:space="preserve">DGT, </v>
      </c>
      <c r="L75" s="413" t="str">
        <f>IF(M75="","",$M$5&amp;":"&amp;M75&amp;";")&amp;IF(N75="","",$N$5&amp;":"&amp;N75&amp;";")&amp;IF(O75="","",$O$5&amp;":"&amp;O75&amp;";")&amp;IF(P75="","",$P$5&amp;":"&amp;P75&amp;";")&amp;IF(Q75="","",$Q$5&amp;":"&amp;Q75&amp;";")&amp;IF(R75="","",$R$5&amp;":"&amp;R75&amp;";")&amp;IF(S75="","",$S$5&amp;":"&amp;S75&amp;";")&amp;IF(T75="","",$T$5&amp;":"&amp;T75&amp;";")&amp;IF(U75="","",$U$5&amp;":"&amp;U75&amp;";")&amp;IF(V75="","",$V$5&amp;":"&amp;V75&amp;";")&amp;IF(W75="","",$W$5&amp;":"&amp;W75&amp;";")&amp;IF(X75="","",$X$5&amp;":"&amp;X75&amp;";")&amp;IF(Y75="","",$Y$5&amp;":"&amp;Y75&amp;";")&amp;IF(Z75="","",$Z$5&amp;":"&amp;Z75&amp;";")&amp;IF(AA75="","",$AA$5&amp;":"&amp;AA75&amp;";")&amp;IF(AB75="","",$AB$5&amp;":"&amp;AB75&amp;";")&amp;IF(AC75="","",$AC$5&amp;":"&amp;AC75&amp;";")&amp;IF(AD75="","",$AD$5&amp;":"&amp;AD75&amp;";")&amp;IF(AE75="","",$AE$5&amp;":"&amp;AE75&amp;";")&amp;IF(AF75="","",$AF$5&amp;":"&amp;AF75&amp;";")&amp;IF(AG75="","",$AG$5&amp;":"&amp;AG75&amp;";")&amp;IF(AH75="","",$AH$5&amp;":"&amp;AH75&amp;";")&amp;IF(AI75="","",$AI$5&amp;":"&amp;AI75&amp;";")&amp;IF(AJ75="","",$AJ$5&amp;":"&amp;AJ75&amp;";")&amp;IF(AK75="","",$AK$5&amp;":"&amp;AK75&amp;";")&amp;IF(AL75="","",$AL$5&amp;":"&amp;AL75&amp;";")&amp;IF(AM75="","",$AM$5&amp;":"&amp;AM75&amp;";")&amp;IF(AN75="","",$AN$5&amp;":"&amp;AN75&amp;";")&amp;IF(AO75="","",$AO$5&amp;":"&amp;AO75&amp;";")&amp;IF(AP75="","",$AP$5&amp;":"&amp;AP75&amp;";")&amp;IF(AQ75="","",$AQ$5&amp;":"&amp;AQ75&amp;";")&amp;IF(AR75="","",$AR$5&amp;":"&amp;AR75&amp;";")&amp;IF(AS75="","",$AS$5&amp;":"&amp;AS75&amp;";")&amp;IF(AT75="","",$AT$5&amp;":"&amp;AT75&amp;";")&amp;IF(AU75="","",$AU$5&amp;":"&amp;AU75&amp;";")</f>
        <v>DGT:9,94;</v>
      </c>
      <c r="M75" s="351"/>
      <c r="N75" s="351"/>
      <c r="O75" s="351"/>
      <c r="P75" s="351"/>
      <c r="Q75" s="351"/>
      <c r="R75" s="351"/>
      <c r="S75" s="351"/>
      <c r="T75" s="351"/>
      <c r="U75" s="351"/>
      <c r="V75" s="351"/>
      <c r="W75" s="351">
        <v>9.94</v>
      </c>
      <c r="X75" s="351"/>
      <c r="Y75" s="351"/>
      <c r="Z75" s="351"/>
      <c r="AA75" s="351"/>
      <c r="AB75" s="351"/>
      <c r="AC75" s="351"/>
      <c r="AD75" s="351"/>
      <c r="AE75" s="351"/>
      <c r="AF75" s="351"/>
      <c r="AG75" s="351"/>
      <c r="AH75" s="351"/>
      <c r="AI75" s="351"/>
      <c r="AJ75" s="351"/>
      <c r="AK75" s="351"/>
      <c r="AL75" s="351"/>
      <c r="AM75" s="351"/>
      <c r="AN75" s="351"/>
      <c r="AO75" s="351"/>
      <c r="AP75" s="351"/>
      <c r="AQ75" s="351"/>
      <c r="AR75" s="351"/>
      <c r="AS75" s="351"/>
      <c r="AT75" s="351"/>
      <c r="AU75" s="351"/>
      <c r="AV75" s="351" t="s">
        <v>266</v>
      </c>
      <c r="AW75" s="351" t="s">
        <v>266</v>
      </c>
      <c r="AX75" s="351" t="s">
        <v>416</v>
      </c>
      <c r="AY75" s="260" t="s">
        <v>416</v>
      </c>
      <c r="AZ75" s="181" t="s">
        <v>1154</v>
      </c>
      <c r="BA75" s="351"/>
      <c r="BB75" s="351"/>
      <c r="BC75" s="610"/>
      <c r="BD75" s="365"/>
      <c r="BE75" s="365"/>
      <c r="BF75" s="365" t="s">
        <v>263</v>
      </c>
      <c r="BG75" s="365"/>
      <c r="BH75" s="351"/>
    </row>
    <row r="76" spans="1:62" ht="57" customHeight="1">
      <c r="A76" s="611">
        <f>SUBTOTAL(3,C$11:$C76)</f>
        <v>40</v>
      </c>
      <c r="B76" s="613" t="s">
        <v>417</v>
      </c>
      <c r="C76" s="614" t="s">
        <v>42</v>
      </c>
      <c r="D76" s="612">
        <v>83.36</v>
      </c>
      <c r="E76" s="268"/>
      <c r="F76" s="351">
        <f>F77+F78+F79+F80+F81</f>
        <v>83.36</v>
      </c>
      <c r="G76" s="414">
        <v>81.28</v>
      </c>
      <c r="H76" s="413" t="s">
        <v>1155</v>
      </c>
      <c r="I76" s="413" t="s">
        <v>1156</v>
      </c>
      <c r="J76" s="413"/>
      <c r="K76" s="413"/>
      <c r="L76" s="413"/>
      <c r="M76" s="351"/>
      <c r="N76" s="351"/>
      <c r="O76" s="351"/>
      <c r="P76" s="351"/>
      <c r="Q76" s="351"/>
      <c r="R76" s="351"/>
      <c r="S76" s="351"/>
      <c r="T76" s="351"/>
      <c r="U76" s="351"/>
      <c r="V76" s="351"/>
      <c r="W76" s="351"/>
      <c r="X76" s="351"/>
      <c r="Y76" s="351"/>
      <c r="Z76" s="351"/>
      <c r="AA76" s="351"/>
      <c r="AB76" s="351"/>
      <c r="AC76" s="351"/>
      <c r="AD76" s="351"/>
      <c r="AE76" s="351"/>
      <c r="AF76" s="351"/>
      <c r="AG76" s="351"/>
      <c r="AH76" s="351"/>
      <c r="AI76" s="351"/>
      <c r="AJ76" s="351"/>
      <c r="AK76" s="351"/>
      <c r="AL76" s="351"/>
      <c r="AM76" s="351"/>
      <c r="AN76" s="351"/>
      <c r="AO76" s="351"/>
      <c r="AP76" s="351"/>
      <c r="AQ76" s="351"/>
      <c r="AR76" s="351"/>
      <c r="AS76" s="351"/>
      <c r="AT76" s="351"/>
      <c r="AU76" s="351"/>
      <c r="AV76" s="351" t="s">
        <v>1157</v>
      </c>
      <c r="AW76" s="351"/>
      <c r="AX76" s="350" t="s">
        <v>1158</v>
      </c>
      <c r="AY76" s="260"/>
      <c r="AZ76" s="181"/>
      <c r="BA76" s="351"/>
      <c r="BB76" s="351"/>
      <c r="BC76" s="370"/>
      <c r="BD76" s="370"/>
      <c r="BE76" s="370"/>
      <c r="BF76" s="370"/>
      <c r="BG76" s="370"/>
      <c r="BH76" s="351"/>
    </row>
    <row r="77" spans="1:62" ht="56.4" customHeight="1">
      <c r="A77" s="611"/>
      <c r="B77" s="613"/>
      <c r="C77" s="614"/>
      <c r="D77" s="612"/>
      <c r="E77" s="268"/>
      <c r="F77" s="339">
        <v>16.100000000000001</v>
      </c>
      <c r="G77" s="414">
        <f>SUM(M77:AR77)</f>
        <v>16.100000000000001</v>
      </c>
      <c r="H77" s="413" t="s">
        <v>1156</v>
      </c>
      <c r="I77" s="413" t="s">
        <v>1156</v>
      </c>
      <c r="J77" s="413"/>
      <c r="K77" s="413" t="str">
        <f>IF(M77&lt;&gt;0,$M$5&amp;", ","")&amp;IF(N77&lt;&gt;0,$N$5&amp;", ","")&amp;IF(O77&lt;&gt;0,O$5&amp;", ","")&amp;IF(P77&lt;&gt;0,P$5&amp;", ","")&amp;IF(Q77&lt;&gt;0,Q$5&amp;", ","")&amp;IF(R77&lt;&gt;0,R$5&amp;", ","")&amp;IF(S77&lt;&gt;0,S$5&amp;", ","")&amp;IF(T77&lt;&gt;0,T$5&amp;", ","")&amp;IF(U77&lt;&gt;0,U$5&amp;", ","")&amp;IF(V77&lt;&gt;0,V$5&amp;", ","")&amp;IF(W77&lt;&gt;0,W$5&amp;", ","")&amp;IF(X77&lt;&gt;0,X$5&amp;", ","")&amp;IF(Y77&lt;&gt;0,Y$5&amp;", ","")&amp;IF(Z77&lt;&gt;0,Z$5&amp;", ","")&amp;IF(AA77&lt;&gt;0,AA$5&amp;", ","")&amp;IF(AB77&lt;&gt;0,AB$5&amp;", ","")&amp;IF(AC77&lt;&gt;0,AC$5&amp;", ","")&amp;IF(AD77&lt;&gt;0,AD$5&amp;", ","")&amp;IF(AE77&lt;&gt;0,AE$5&amp;", ","")&amp;IF(AF77&lt;&gt;0,AF$5&amp;", ","")&amp;IF(AG77&lt;&gt;0,AG$5&amp;", ","")&amp;IF(AH77&lt;&gt;0,AH$5&amp;", ","")&amp;IF(AI77&lt;&gt;0,AI$5&amp;", ","")&amp;IF(AJ77&lt;&gt;0,AJ$5&amp;", ","")&amp;IF(AK77&lt;&gt;0,AK$5&amp;", ","")&amp;IF(AL77&lt;&gt;0,AL$5&amp;", ","")&amp;IF(AM77&lt;&gt;0,AM$5&amp;", ","")&amp;IF(AN77&lt;&gt;0,AN$5&amp;", ","")&amp;IF(AO77&lt;&gt;0,AO$5&amp;", ","")&amp;IF(AP77&lt;&gt;0,AP$5&amp;", ","")&amp;IF(AQ77&lt;&gt;0,AQ$5&amp;", ","")&amp;IF(AR77&lt;&gt;0,AR$5,"")&amp;IF(AS77&lt;&gt;0,AS$5,"")&amp;IF(AT77&lt;&gt;0,AT$5,"")&amp;IF(AU77&lt;&gt;0,AU$5,"")</f>
        <v xml:space="preserve">LUC, HNK, SKC, DGT, DTL, TON, NTD, ONT, </v>
      </c>
      <c r="L77" s="413" t="str">
        <f>IF(M77="","",$M$5&amp;":"&amp;M77&amp;";")&amp;IF(N77="","",$N$5&amp;":"&amp;N77&amp;";")&amp;IF(O77="","",$O$5&amp;":"&amp;O77&amp;";")&amp;IF(P77="","",$P$5&amp;":"&amp;P77&amp;";")&amp;IF(Q77="","",$Q$5&amp;":"&amp;Q77&amp;";")&amp;IF(R77="","",$R$5&amp;":"&amp;R77&amp;";")&amp;IF(S77="","",$S$5&amp;":"&amp;S77&amp;";")&amp;IF(T77="","",$T$5&amp;":"&amp;T77&amp;";")&amp;IF(U77="","",$U$5&amp;":"&amp;U77&amp;";")&amp;IF(V77="","",$V$5&amp;":"&amp;V77&amp;";")&amp;IF(W77="","",$W$5&amp;":"&amp;W77&amp;";")&amp;IF(X77="","",$X$5&amp;":"&amp;X77&amp;";")&amp;IF(Y77="","",$Y$5&amp;":"&amp;Y77&amp;";")&amp;IF(Z77="","",$Z$5&amp;":"&amp;Z77&amp;";")&amp;IF(AA77="","",$AA$5&amp;":"&amp;AA77&amp;";")&amp;IF(AB77="","",$AB$5&amp;":"&amp;AB77&amp;";")&amp;IF(AC77="","",$AC$5&amp;":"&amp;AC77&amp;";")&amp;IF(AD77="","",$AD$5&amp;":"&amp;AD77&amp;";")&amp;IF(AE77="","",$AE$5&amp;":"&amp;AE77&amp;";")&amp;IF(AF77="","",$AF$5&amp;":"&amp;AF77&amp;";")&amp;IF(AG77="","",$AG$5&amp;":"&amp;AG77&amp;";")&amp;IF(AH77="","",$AH$5&amp;":"&amp;AH77&amp;";")&amp;IF(AI77="","",$AI$5&amp;":"&amp;AI77&amp;";")&amp;IF(AJ77="","",$AJ$5&amp;":"&amp;AJ77&amp;";")&amp;IF(AK77="","",$AK$5&amp;":"&amp;AK77&amp;";")&amp;IF(AL77="","",$AL$5&amp;":"&amp;AL77&amp;";")&amp;IF(AM77="","",$AM$5&amp;":"&amp;AM77&amp;";")&amp;IF(AN77="","",$AN$5&amp;":"&amp;AN77&amp;";")&amp;IF(AO77="","",$AO$5&amp;":"&amp;AO77&amp;";")&amp;IF(AP77="","",$AP$5&amp;":"&amp;AP77&amp;";")&amp;IF(AQ77="","",$AQ$5&amp;":"&amp;AQ77&amp;";")&amp;IF(AR77="","",$AR$5&amp;":"&amp;AR77&amp;";")&amp;IF(AS77="","",$AS$5&amp;":"&amp;AS77&amp;";")&amp;IF(AT77="","",$AT$5&amp;":"&amp;AT77&amp;";")&amp;IF(AU77="","",$AU$5&amp;":"&amp;AU77&amp;";")</f>
        <v>LUC:6,08;HNK:3,29;SKC:0,28;DGT:0,92;DTL:0,03;TON:0,63;NTD:0,39;ONT:4,48;</v>
      </c>
      <c r="M77" s="339">
        <v>6.08</v>
      </c>
      <c r="N77" s="339"/>
      <c r="O77" s="339">
        <v>3.29</v>
      </c>
      <c r="P77" s="339"/>
      <c r="Q77" s="339"/>
      <c r="R77" s="339"/>
      <c r="S77" s="339"/>
      <c r="T77" s="339"/>
      <c r="U77" s="339"/>
      <c r="V77" s="339">
        <v>0.28000000000000003</v>
      </c>
      <c r="W77" s="339">
        <v>0.92</v>
      </c>
      <c r="X77" s="339">
        <v>0.03</v>
      </c>
      <c r="Y77" s="339"/>
      <c r="Z77" s="339"/>
      <c r="AA77" s="339"/>
      <c r="AB77" s="339"/>
      <c r="AC77" s="339"/>
      <c r="AD77" s="339"/>
      <c r="AE77" s="339"/>
      <c r="AF77" s="339"/>
      <c r="AG77" s="339">
        <v>0.63</v>
      </c>
      <c r="AH77" s="339">
        <v>0.39</v>
      </c>
      <c r="AI77" s="339"/>
      <c r="AJ77" s="339"/>
      <c r="AK77" s="339"/>
      <c r="AL77" s="339">
        <v>4.4800000000000004</v>
      </c>
      <c r="AM77" s="339"/>
      <c r="AN77" s="339"/>
      <c r="AO77" s="339"/>
      <c r="AP77" s="339"/>
      <c r="AQ77" s="339"/>
      <c r="AR77" s="339"/>
      <c r="AS77" s="339"/>
      <c r="AT77" s="339"/>
      <c r="AU77" s="339"/>
      <c r="AV77" s="351" t="s">
        <v>300</v>
      </c>
      <c r="AW77" s="351" t="s">
        <v>300</v>
      </c>
      <c r="AX77" s="351"/>
      <c r="AY77" s="260"/>
      <c r="AZ77" s="181"/>
      <c r="BA77" s="351"/>
      <c r="BB77" s="351"/>
      <c r="BC77" s="608" t="s">
        <v>316</v>
      </c>
      <c r="BD77" s="364"/>
      <c r="BE77" s="364"/>
      <c r="BF77" s="364" t="s">
        <v>263</v>
      </c>
      <c r="BG77" s="364"/>
      <c r="BH77" s="351"/>
    </row>
    <row r="78" spans="1:62" ht="56.4" customHeight="1">
      <c r="A78" s="611"/>
      <c r="B78" s="613"/>
      <c r="C78" s="614"/>
      <c r="D78" s="612"/>
      <c r="E78" s="268"/>
      <c r="F78" s="339">
        <v>22.7</v>
      </c>
      <c r="G78" s="414">
        <f>SUM(M78:AR78)</f>
        <v>22.7</v>
      </c>
      <c r="H78" s="413" t="s">
        <v>1159</v>
      </c>
      <c r="I78" s="413" t="s">
        <v>1159</v>
      </c>
      <c r="J78" s="413"/>
      <c r="K78" s="413" t="str">
        <f>IF(M78&lt;&gt;0,$M$5&amp;", ","")&amp;IF(N78&lt;&gt;0,$N$5&amp;", ","")&amp;IF(O78&lt;&gt;0,O$5&amp;", ","")&amp;IF(P78&lt;&gt;0,P$5&amp;", ","")&amp;IF(Q78&lt;&gt;0,Q$5&amp;", ","")&amp;IF(R78&lt;&gt;0,R$5&amp;", ","")&amp;IF(S78&lt;&gt;0,S$5&amp;", ","")&amp;IF(T78&lt;&gt;0,T$5&amp;", ","")&amp;IF(U78&lt;&gt;0,U$5&amp;", ","")&amp;IF(V78&lt;&gt;0,V$5&amp;", ","")&amp;IF(W78&lt;&gt;0,W$5&amp;", ","")&amp;IF(X78&lt;&gt;0,X$5&amp;", ","")&amp;IF(Y78&lt;&gt;0,Y$5&amp;", ","")&amp;IF(Z78&lt;&gt;0,Z$5&amp;", ","")&amp;IF(AA78&lt;&gt;0,AA$5&amp;", ","")&amp;IF(AB78&lt;&gt;0,AB$5&amp;", ","")&amp;IF(AC78&lt;&gt;0,AC$5&amp;", ","")&amp;IF(AD78&lt;&gt;0,AD$5&amp;", ","")&amp;IF(AE78&lt;&gt;0,AE$5&amp;", ","")&amp;IF(AF78&lt;&gt;0,AF$5&amp;", ","")&amp;IF(AG78&lt;&gt;0,AG$5&amp;", ","")&amp;IF(AH78&lt;&gt;0,AH$5&amp;", ","")&amp;IF(AI78&lt;&gt;0,AI$5&amp;", ","")&amp;IF(AJ78&lt;&gt;0,AJ$5&amp;", ","")&amp;IF(AK78&lt;&gt;0,AK$5&amp;", ","")&amp;IF(AL78&lt;&gt;0,AL$5&amp;", ","")&amp;IF(AM78&lt;&gt;0,AM$5&amp;", ","")&amp;IF(AN78&lt;&gt;0,AN$5&amp;", ","")&amp;IF(AO78&lt;&gt;0,AO$5&amp;", ","")&amp;IF(AP78&lt;&gt;0,AP$5&amp;", ","")&amp;IF(AQ78&lt;&gt;0,AQ$5&amp;", ","")&amp;IF(AR78&lt;&gt;0,AR$5,"")&amp;IF(AS78&lt;&gt;0,AS$5,"")&amp;IF(AT78&lt;&gt;0,AT$5,"")&amp;IF(AU78&lt;&gt;0,AU$5,"")</f>
        <v xml:space="preserve">LUC, HNK, NTS, DGT, NTD, ONT, TIN, </v>
      </c>
      <c r="L78" s="413" t="str">
        <f>IF(M78="","",$M$5&amp;":"&amp;M78&amp;";")&amp;IF(N78="","",$N$5&amp;":"&amp;N78&amp;";")&amp;IF(O78="","",$O$5&amp;":"&amp;O78&amp;";")&amp;IF(P78="","",$P$5&amp;":"&amp;P78&amp;";")&amp;IF(Q78="","",$Q$5&amp;":"&amp;Q78&amp;";")&amp;IF(R78="","",$R$5&amp;":"&amp;R78&amp;";")&amp;IF(S78="","",$S$5&amp;":"&amp;S78&amp;";")&amp;IF(T78="","",$T$5&amp;":"&amp;T78&amp;";")&amp;IF(U78="","",$U$5&amp;":"&amp;U78&amp;";")&amp;IF(V78="","",$V$5&amp;":"&amp;V78&amp;";")&amp;IF(W78="","",$W$5&amp;":"&amp;W78&amp;";")&amp;IF(X78="","",$X$5&amp;":"&amp;X78&amp;";")&amp;IF(Y78="","",$Y$5&amp;":"&amp;Y78&amp;";")&amp;IF(Z78="","",$Z$5&amp;":"&amp;Z78&amp;";")&amp;IF(AA78="","",$AA$5&amp;":"&amp;AA78&amp;";")&amp;IF(AB78="","",$AB$5&amp;":"&amp;AB78&amp;";")&amp;IF(AC78="","",$AC$5&amp;":"&amp;AC78&amp;";")&amp;IF(AD78="","",$AD$5&amp;":"&amp;AD78&amp;";")&amp;IF(AE78="","",$AE$5&amp;":"&amp;AE78&amp;";")&amp;IF(AF78="","",$AF$5&amp;":"&amp;AF78&amp;";")&amp;IF(AG78="","",$AG$5&amp;":"&amp;AG78&amp;";")&amp;IF(AH78="","",$AH$5&amp;":"&amp;AH78&amp;";")&amp;IF(AI78="","",$AI$5&amp;":"&amp;AI78&amp;";")&amp;IF(AJ78="","",$AJ$5&amp;":"&amp;AJ78&amp;";")&amp;IF(AK78="","",$AK$5&amp;":"&amp;AK78&amp;";")&amp;IF(AL78="","",$AL$5&amp;":"&amp;AL78&amp;";")&amp;IF(AM78="","",$AM$5&amp;":"&amp;AM78&amp;";")&amp;IF(AN78="","",$AN$5&amp;":"&amp;AN78&amp;";")&amp;IF(AO78="","",$AO$5&amp;":"&amp;AO78&amp;";")&amp;IF(AP78="","",$AP$5&amp;":"&amp;AP78&amp;";")&amp;IF(AQ78="","",$AQ$5&amp;":"&amp;AQ78&amp;";")&amp;IF(AR78="","",$AR$5&amp;":"&amp;AR78&amp;";")&amp;IF(AS78="","",$AS$5&amp;":"&amp;AS78&amp;";")&amp;IF(AT78="","",$AT$5&amp;":"&amp;AT78&amp;";")&amp;IF(AU78="","",$AU$5&amp;":"&amp;AU78&amp;";")</f>
        <v>LUC:0,34;HNK:9,6;NTS:0,01;DGT:0,42;NTD:0,97;ONT:11,21;TIN:0,15;</v>
      </c>
      <c r="M78" s="339">
        <v>0.34</v>
      </c>
      <c r="N78" s="339"/>
      <c r="O78" s="339">
        <v>9.6</v>
      </c>
      <c r="P78" s="339"/>
      <c r="Q78" s="339">
        <v>0.01</v>
      </c>
      <c r="R78" s="339"/>
      <c r="S78" s="339"/>
      <c r="T78" s="339"/>
      <c r="U78" s="339"/>
      <c r="V78" s="339"/>
      <c r="W78" s="339">
        <v>0.42</v>
      </c>
      <c r="X78" s="339"/>
      <c r="Y78" s="339"/>
      <c r="Z78" s="339"/>
      <c r="AA78" s="339"/>
      <c r="AB78" s="339"/>
      <c r="AC78" s="339"/>
      <c r="AD78" s="339"/>
      <c r="AE78" s="339"/>
      <c r="AF78" s="339"/>
      <c r="AG78" s="339"/>
      <c r="AH78" s="339">
        <v>0.97</v>
      </c>
      <c r="AI78" s="339"/>
      <c r="AJ78" s="339"/>
      <c r="AK78" s="339"/>
      <c r="AL78" s="339">
        <v>11.21</v>
      </c>
      <c r="AM78" s="339"/>
      <c r="AN78" s="339"/>
      <c r="AO78" s="339"/>
      <c r="AP78" s="339">
        <v>0.15</v>
      </c>
      <c r="AQ78" s="339"/>
      <c r="AR78" s="339"/>
      <c r="AS78" s="339"/>
      <c r="AT78" s="339"/>
      <c r="AU78" s="339"/>
      <c r="AV78" s="338" t="s">
        <v>289</v>
      </c>
      <c r="AW78" s="338" t="s">
        <v>289</v>
      </c>
      <c r="AX78" s="350" t="s">
        <v>1160</v>
      </c>
      <c r="AY78" s="356" t="s">
        <v>1160</v>
      </c>
      <c r="AZ78" s="181" t="s">
        <v>1161</v>
      </c>
      <c r="BA78" s="351"/>
      <c r="BB78" s="351"/>
      <c r="BC78" s="609"/>
      <c r="BD78" s="370"/>
      <c r="BE78" s="370"/>
      <c r="BF78" s="370" t="s">
        <v>263</v>
      </c>
      <c r="BG78" s="370"/>
      <c r="BH78" s="351"/>
    </row>
    <row r="79" spans="1:62" ht="55.25" customHeight="1">
      <c r="A79" s="611"/>
      <c r="B79" s="613"/>
      <c r="C79" s="614"/>
      <c r="D79" s="612"/>
      <c r="E79" s="268"/>
      <c r="F79" s="339">
        <v>22.56</v>
      </c>
      <c r="G79" s="414">
        <f>SUM(M79:AR79)</f>
        <v>22.555999999999997</v>
      </c>
      <c r="H79" s="413" t="s">
        <v>1162</v>
      </c>
      <c r="I79" s="413" t="s">
        <v>1162</v>
      </c>
      <c r="J79" s="413"/>
      <c r="K79" s="413" t="str">
        <f>IF(M79&lt;&gt;0,$M$5&amp;", ","")&amp;IF(N79&lt;&gt;0,$N$5&amp;", ","")&amp;IF(O79&lt;&gt;0,O$5&amp;", ","")&amp;IF(P79&lt;&gt;0,P$5&amp;", ","")&amp;IF(Q79&lt;&gt;0,Q$5&amp;", ","")&amp;IF(R79&lt;&gt;0,R$5&amp;", ","")&amp;IF(S79&lt;&gt;0,S$5&amp;", ","")&amp;IF(T79&lt;&gt;0,T$5&amp;", ","")&amp;IF(U79&lt;&gt;0,U$5&amp;", ","")&amp;IF(V79&lt;&gt;0,V$5&amp;", ","")&amp;IF(W79&lt;&gt;0,W$5&amp;", ","")&amp;IF(X79&lt;&gt;0,X$5&amp;", ","")&amp;IF(Y79&lt;&gt;0,Y$5&amp;", ","")&amp;IF(Z79&lt;&gt;0,Z$5&amp;", ","")&amp;IF(AA79&lt;&gt;0,AA$5&amp;", ","")&amp;IF(AB79&lt;&gt;0,AB$5&amp;", ","")&amp;IF(AC79&lt;&gt;0,AC$5&amp;", ","")&amp;IF(AD79&lt;&gt;0,AD$5&amp;", ","")&amp;IF(AE79&lt;&gt;0,AE$5&amp;", ","")&amp;IF(AF79&lt;&gt;0,AF$5&amp;", ","")&amp;IF(AG79&lt;&gt;0,AG$5&amp;", ","")&amp;IF(AH79&lt;&gt;0,AH$5&amp;", ","")&amp;IF(AI79&lt;&gt;0,AI$5&amp;", ","")&amp;IF(AJ79&lt;&gt;0,AJ$5&amp;", ","")&amp;IF(AK79&lt;&gt;0,AK$5&amp;", ","")&amp;IF(AL79&lt;&gt;0,AL$5&amp;", ","")&amp;IF(AM79&lt;&gt;0,AM$5&amp;", ","")&amp;IF(AN79&lt;&gt;0,AN$5&amp;", ","")&amp;IF(AO79&lt;&gt;0,AO$5&amp;", ","")&amp;IF(AP79&lt;&gt;0,AP$5&amp;", ","")&amp;IF(AQ79&lt;&gt;0,AQ$5&amp;", ","")&amp;IF(AR79&lt;&gt;0,AR$5,"")&amp;IF(AS79&lt;&gt;0,AS$5,"")&amp;IF(AT79&lt;&gt;0,AT$5,"")&amp;IF(AU79&lt;&gt;0,AU$5,"")</f>
        <v xml:space="preserve">LUC, HNK, NTS, SKC, DGT, NTD, ONT, </v>
      </c>
      <c r="L79" s="413" t="str">
        <f>IF(M79="","",$M$5&amp;":"&amp;M79&amp;";")&amp;IF(N79="","",$N$5&amp;":"&amp;N79&amp;";")&amp;IF(O79="","",$O$5&amp;":"&amp;O79&amp;";")&amp;IF(P79="","",$P$5&amp;":"&amp;P79&amp;";")&amp;IF(Q79="","",$Q$5&amp;":"&amp;Q79&amp;";")&amp;IF(R79="","",$R$5&amp;":"&amp;R79&amp;";")&amp;IF(S79="","",$S$5&amp;":"&amp;S79&amp;";")&amp;IF(T79="","",$T$5&amp;":"&amp;T79&amp;";")&amp;IF(U79="","",$U$5&amp;":"&amp;U79&amp;";")&amp;IF(V79="","",$V$5&amp;":"&amp;V79&amp;";")&amp;IF(W79="","",$W$5&amp;":"&amp;W79&amp;";")&amp;IF(X79="","",$X$5&amp;":"&amp;X79&amp;";")&amp;IF(Y79="","",$Y$5&amp;":"&amp;Y79&amp;";")&amp;IF(Z79="","",$Z$5&amp;":"&amp;Z79&amp;";")&amp;IF(AA79="","",$AA$5&amp;":"&amp;AA79&amp;";")&amp;IF(AB79="","",$AB$5&amp;":"&amp;AB79&amp;";")&amp;IF(AC79="","",$AC$5&amp;":"&amp;AC79&amp;";")&amp;IF(AD79="","",$AD$5&amp;":"&amp;AD79&amp;";")&amp;IF(AE79="","",$AE$5&amp;":"&amp;AE79&amp;";")&amp;IF(AF79="","",$AF$5&amp;":"&amp;AF79&amp;";")&amp;IF(AG79="","",$AG$5&amp;":"&amp;AG79&amp;";")&amp;IF(AH79="","",$AH$5&amp;":"&amp;AH79&amp;";")&amp;IF(AI79="","",$AI$5&amp;":"&amp;AI79&amp;";")&amp;IF(AJ79="","",$AJ$5&amp;":"&amp;AJ79&amp;";")&amp;IF(AK79="","",$AK$5&amp;":"&amp;AK79&amp;";")&amp;IF(AL79="","",$AL$5&amp;":"&amp;AL79&amp;";")&amp;IF(AM79="","",$AM$5&amp;":"&amp;AM79&amp;";")&amp;IF(AN79="","",$AN$5&amp;":"&amp;AN79&amp;";")&amp;IF(AO79="","",$AO$5&amp;":"&amp;AO79&amp;";")&amp;IF(AP79="","",$AP$5&amp;":"&amp;AP79&amp;";")&amp;IF(AQ79="","",$AQ$5&amp;":"&amp;AQ79&amp;";")&amp;IF(AR79="","",$AR$5&amp;":"&amp;AR79&amp;";")&amp;IF(AS79="","",$AS$5&amp;":"&amp;AS79&amp;";")&amp;IF(AT79="","",$AT$5&amp;":"&amp;AT79&amp;";")&amp;IF(AU79="","",$AU$5&amp;":"&amp;AU79&amp;";")</f>
        <v>LUC:0,366;HNK:0,23;NTS:0,35;SKC:0,07;DGT:0,18;NTD:0,57;ONT:20,79;</v>
      </c>
      <c r="M79" s="339">
        <v>0.36599999999999999</v>
      </c>
      <c r="N79" s="339"/>
      <c r="O79" s="339">
        <v>0.23</v>
      </c>
      <c r="P79" s="339"/>
      <c r="Q79" s="339">
        <v>0.35</v>
      </c>
      <c r="R79" s="339"/>
      <c r="S79" s="339"/>
      <c r="T79" s="339"/>
      <c r="U79" s="339"/>
      <c r="V79" s="339">
        <v>7.0000000000000007E-2</v>
      </c>
      <c r="W79" s="339">
        <v>0.18</v>
      </c>
      <c r="X79" s="339"/>
      <c r="Y79" s="339"/>
      <c r="Z79" s="339"/>
      <c r="AA79" s="339"/>
      <c r="AB79" s="339"/>
      <c r="AC79" s="339"/>
      <c r="AD79" s="339"/>
      <c r="AE79" s="339"/>
      <c r="AF79" s="339"/>
      <c r="AG79" s="339"/>
      <c r="AH79" s="339">
        <v>0.56999999999999995</v>
      </c>
      <c r="AI79" s="339"/>
      <c r="AJ79" s="339"/>
      <c r="AK79" s="339"/>
      <c r="AL79" s="339">
        <v>20.79</v>
      </c>
      <c r="AM79" s="339"/>
      <c r="AN79" s="339"/>
      <c r="AO79" s="339"/>
      <c r="AP79" s="339"/>
      <c r="AQ79" s="339"/>
      <c r="AR79" s="339"/>
      <c r="AS79" s="339"/>
      <c r="AT79" s="339"/>
      <c r="AU79" s="339"/>
      <c r="AV79" s="351" t="s">
        <v>306</v>
      </c>
      <c r="AW79" s="351" t="s">
        <v>306</v>
      </c>
      <c r="AX79" s="351"/>
      <c r="AY79" s="260"/>
      <c r="AZ79" s="181" t="s">
        <v>1163</v>
      </c>
      <c r="BA79" s="351"/>
      <c r="BB79" s="351"/>
      <c r="BC79" s="609"/>
      <c r="BD79" s="370"/>
      <c r="BE79" s="370"/>
      <c r="BF79" s="370" t="s">
        <v>263</v>
      </c>
      <c r="BG79" s="370"/>
      <c r="BH79" s="351"/>
    </row>
    <row r="80" spans="1:62" ht="70.25" customHeight="1">
      <c r="A80" s="611"/>
      <c r="B80" s="613"/>
      <c r="C80" s="614"/>
      <c r="D80" s="612"/>
      <c r="E80" s="268"/>
      <c r="F80" s="339">
        <v>21</v>
      </c>
      <c r="G80" s="414">
        <f>SUM(M80:AR80)</f>
        <v>21</v>
      </c>
      <c r="H80" s="413" t="s">
        <v>1164</v>
      </c>
      <c r="I80" s="413" t="s">
        <v>1164</v>
      </c>
      <c r="J80" s="413"/>
      <c r="K80" s="413" t="str">
        <f>IF(M80&lt;&gt;0,$M$5&amp;", ","")&amp;IF(N80&lt;&gt;0,$N$5&amp;", ","")&amp;IF(O80&lt;&gt;0,O$5&amp;", ","")&amp;IF(P80&lt;&gt;0,P$5&amp;", ","")&amp;IF(Q80&lt;&gt;0,Q$5&amp;", ","")&amp;IF(R80&lt;&gt;0,R$5&amp;", ","")&amp;IF(S80&lt;&gt;0,S$5&amp;", ","")&amp;IF(T80&lt;&gt;0,T$5&amp;", ","")&amp;IF(U80&lt;&gt;0,U$5&amp;", ","")&amp;IF(V80&lt;&gt;0,V$5&amp;", ","")&amp;IF(W80&lt;&gt;0,W$5&amp;", ","")&amp;IF(X80&lt;&gt;0,X$5&amp;", ","")&amp;IF(Y80&lt;&gt;0,Y$5&amp;", ","")&amp;IF(Z80&lt;&gt;0,Z$5&amp;", ","")&amp;IF(AA80&lt;&gt;0,AA$5&amp;", ","")&amp;IF(AB80&lt;&gt;0,AB$5&amp;", ","")&amp;IF(AC80&lt;&gt;0,AC$5&amp;", ","")&amp;IF(AD80&lt;&gt;0,AD$5&amp;", ","")&amp;IF(AE80&lt;&gt;0,AE$5&amp;", ","")&amp;IF(AF80&lt;&gt;0,AF$5&amp;", ","")&amp;IF(AG80&lt;&gt;0,AG$5&amp;", ","")&amp;IF(AH80&lt;&gt;0,AH$5&amp;", ","")&amp;IF(AI80&lt;&gt;0,AI$5&amp;", ","")&amp;IF(AJ80&lt;&gt;0,AJ$5&amp;", ","")&amp;IF(AK80&lt;&gt;0,AK$5&amp;", ","")&amp;IF(AL80&lt;&gt;0,AL$5&amp;", ","")&amp;IF(AM80&lt;&gt;0,AM$5&amp;", ","")&amp;IF(AN80&lt;&gt;0,AN$5&amp;", ","")&amp;IF(AO80&lt;&gt;0,AO$5&amp;", ","")&amp;IF(AP80&lt;&gt;0,AP$5&amp;", ","")&amp;IF(AQ80&lt;&gt;0,AQ$5&amp;", ","")&amp;IF(AR80&lt;&gt;0,AR$5,"")&amp;IF(AS80&lt;&gt;0,AS$5,"")&amp;IF(AT80&lt;&gt;0,AT$5,"")&amp;IF(AU80&lt;&gt;0,AU$5,"")</f>
        <v xml:space="preserve">LUC, HNK, NTS, SKK, SKC, DGT, NTD, ODT, SON, </v>
      </c>
      <c r="L80" s="413" t="str">
        <f>IF(M80="","",$M$5&amp;":"&amp;M80&amp;";")&amp;IF(N80="","",$N$5&amp;":"&amp;N80&amp;";")&amp;IF(O80="","",$O$5&amp;":"&amp;O80&amp;";")&amp;IF(P80="","",$P$5&amp;":"&amp;P80&amp;";")&amp;IF(Q80="","",$Q$5&amp;":"&amp;Q80&amp;";")&amp;IF(R80="","",$R$5&amp;":"&amp;R80&amp;";")&amp;IF(S80="","",$S$5&amp;":"&amp;S80&amp;";")&amp;IF(T80="","",$T$5&amp;":"&amp;T80&amp;";")&amp;IF(U80="","",$U$5&amp;":"&amp;U80&amp;";")&amp;IF(V80="","",$V$5&amp;":"&amp;V80&amp;";")&amp;IF(W80="","",$W$5&amp;":"&amp;W80&amp;";")&amp;IF(X80="","",$X$5&amp;":"&amp;X80&amp;";")&amp;IF(Y80="","",$Y$5&amp;":"&amp;Y80&amp;";")&amp;IF(Z80="","",$Z$5&amp;":"&amp;Z80&amp;";")&amp;IF(AA80="","",$AA$5&amp;":"&amp;AA80&amp;";")&amp;IF(AB80="","",$AB$5&amp;":"&amp;AB80&amp;";")&amp;IF(AC80="","",$AC$5&amp;":"&amp;AC80&amp;";")&amp;IF(AD80="","",$AD$5&amp;":"&amp;AD80&amp;";")&amp;IF(AE80="","",$AE$5&amp;":"&amp;AE80&amp;";")&amp;IF(AF80="","",$AF$5&amp;":"&amp;AF80&amp;";")&amp;IF(AG80="","",$AG$5&amp;":"&amp;AG80&amp;";")&amp;IF(AH80="","",$AH$5&amp;":"&amp;AH80&amp;";")&amp;IF(AI80="","",$AI$5&amp;":"&amp;AI80&amp;";")&amp;IF(AJ80="","",$AJ$5&amp;":"&amp;AJ80&amp;";")&amp;IF(AK80="","",$AK$5&amp;":"&amp;AK80&amp;";")&amp;IF(AL80="","",$AL$5&amp;":"&amp;AL80&amp;";")&amp;IF(AM80="","",$AM$5&amp;":"&amp;AM80&amp;";")&amp;IF(AN80="","",$AN$5&amp;":"&amp;AN80&amp;";")&amp;IF(AO80="","",$AO$5&amp;":"&amp;AO80&amp;";")&amp;IF(AP80="","",$AP$5&amp;":"&amp;AP80&amp;";")&amp;IF(AQ80="","",$AQ$5&amp;":"&amp;AQ80&amp;";")&amp;IF(AR80="","",$AR$5&amp;":"&amp;AR80&amp;";")&amp;IF(AS80="","",$AS$5&amp;":"&amp;AS80&amp;";")&amp;IF(AT80="","",$AT$5&amp;":"&amp;AT80&amp;";")&amp;IF(AU80="","",$AU$5&amp;":"&amp;AU80&amp;";")</f>
        <v>LUC:0,38;HNK:5,39;NTS:0,04;SKK:0,85;SKC:0,22;DGT:0,07;NTD:0,14;ODT:13,72;SON:0,19;</v>
      </c>
      <c r="M80" s="339">
        <v>0.38</v>
      </c>
      <c r="N80" s="339"/>
      <c r="O80" s="339">
        <v>5.39</v>
      </c>
      <c r="P80" s="339"/>
      <c r="Q80" s="339">
        <v>0.04</v>
      </c>
      <c r="R80" s="339"/>
      <c r="S80" s="339">
        <v>0.85</v>
      </c>
      <c r="T80" s="339"/>
      <c r="U80" s="339"/>
      <c r="V80" s="339">
        <v>0.22</v>
      </c>
      <c r="W80" s="339">
        <v>7.0000000000000007E-2</v>
      </c>
      <c r="X80" s="339"/>
      <c r="Y80" s="339"/>
      <c r="Z80" s="339"/>
      <c r="AA80" s="339"/>
      <c r="AB80" s="339"/>
      <c r="AC80" s="339"/>
      <c r="AD80" s="339"/>
      <c r="AE80" s="339"/>
      <c r="AF80" s="339"/>
      <c r="AG80" s="339"/>
      <c r="AH80" s="339">
        <v>0.14000000000000001</v>
      </c>
      <c r="AI80" s="339"/>
      <c r="AJ80" s="339"/>
      <c r="AK80" s="339"/>
      <c r="AL80" s="339"/>
      <c r="AM80" s="339">
        <v>13.72</v>
      </c>
      <c r="AN80" s="339"/>
      <c r="AO80" s="339"/>
      <c r="AP80" s="339"/>
      <c r="AQ80" s="339">
        <v>0.19</v>
      </c>
      <c r="AR80" s="339"/>
      <c r="AS80" s="339"/>
      <c r="AT80" s="339"/>
      <c r="AU80" s="339"/>
      <c r="AV80" s="351" t="s">
        <v>418</v>
      </c>
      <c r="AW80" s="351" t="s">
        <v>418</v>
      </c>
      <c r="AX80" s="351"/>
      <c r="AY80" s="260"/>
      <c r="AZ80" s="181"/>
      <c r="BA80" s="351"/>
      <c r="BB80" s="351"/>
      <c r="BC80" s="609"/>
      <c r="BD80" s="370"/>
      <c r="BE80" s="370"/>
      <c r="BF80" s="370" t="s">
        <v>263</v>
      </c>
      <c r="BG80" s="370"/>
      <c r="BH80" s="351"/>
    </row>
    <row r="81" spans="1:62" ht="42" customHeight="1">
      <c r="A81" s="611"/>
      <c r="B81" s="613"/>
      <c r="C81" s="614"/>
      <c r="D81" s="612"/>
      <c r="E81" s="268"/>
      <c r="F81" s="339">
        <v>1</v>
      </c>
      <c r="G81" s="414">
        <f>SUM(M81:AR81)</f>
        <v>1</v>
      </c>
      <c r="H81" s="413" t="s">
        <v>1165</v>
      </c>
      <c r="I81" s="413" t="s">
        <v>1165</v>
      </c>
      <c r="J81" s="413"/>
      <c r="K81" s="413" t="str">
        <f>IF(M81&lt;&gt;0,$M$5&amp;", ","")&amp;IF(N81&lt;&gt;0,$N$5&amp;", ","")&amp;IF(O81&lt;&gt;0,O$5&amp;", ","")&amp;IF(P81&lt;&gt;0,P$5&amp;", ","")&amp;IF(Q81&lt;&gt;0,Q$5&amp;", ","")&amp;IF(R81&lt;&gt;0,R$5&amp;", ","")&amp;IF(S81&lt;&gt;0,S$5&amp;", ","")&amp;IF(T81&lt;&gt;0,T$5&amp;", ","")&amp;IF(U81&lt;&gt;0,U$5&amp;", ","")&amp;IF(V81&lt;&gt;0,V$5&amp;", ","")&amp;IF(W81&lt;&gt;0,W$5&amp;", ","")&amp;IF(X81&lt;&gt;0,X$5&amp;", ","")&amp;IF(Y81&lt;&gt;0,Y$5&amp;", ","")&amp;IF(Z81&lt;&gt;0,Z$5&amp;", ","")&amp;IF(AA81&lt;&gt;0,AA$5&amp;", ","")&amp;IF(AB81&lt;&gt;0,AB$5&amp;", ","")&amp;IF(AC81&lt;&gt;0,AC$5&amp;", ","")&amp;IF(AD81&lt;&gt;0,AD$5&amp;", ","")&amp;IF(AE81&lt;&gt;0,AE$5&amp;", ","")&amp;IF(AF81&lt;&gt;0,AF$5&amp;", ","")&amp;IF(AG81&lt;&gt;0,AG$5&amp;", ","")&amp;IF(AH81&lt;&gt;0,AH$5&amp;", ","")&amp;IF(AI81&lt;&gt;0,AI$5&amp;", ","")&amp;IF(AJ81&lt;&gt;0,AJ$5&amp;", ","")&amp;IF(AK81&lt;&gt;0,AK$5&amp;", ","")&amp;IF(AL81&lt;&gt;0,AL$5&amp;", ","")&amp;IF(AM81&lt;&gt;0,AM$5&amp;", ","")&amp;IF(AN81&lt;&gt;0,AN$5&amp;", ","")&amp;IF(AO81&lt;&gt;0,AO$5&amp;", ","")&amp;IF(AP81&lt;&gt;0,AP$5&amp;", ","")&amp;IF(AQ81&lt;&gt;0,AQ$5&amp;", ","")&amp;IF(AR81&lt;&gt;0,AR$5,"")&amp;IF(AS81&lt;&gt;0,AS$5,"")&amp;IF(AT81&lt;&gt;0,AT$5,"")&amp;IF(AU81&lt;&gt;0,AU$5,"")</f>
        <v xml:space="preserve">NTS, DTL, NTD, ONT, </v>
      </c>
      <c r="L81" s="413" t="str">
        <f>IF(M81="","",$M$5&amp;":"&amp;M81&amp;";")&amp;IF(N81="","",$N$5&amp;":"&amp;N81&amp;";")&amp;IF(O81="","",$O$5&amp;":"&amp;O81&amp;";")&amp;IF(P81="","",$P$5&amp;":"&amp;P81&amp;";")&amp;IF(Q81="","",$Q$5&amp;":"&amp;Q81&amp;";")&amp;IF(R81="","",$R$5&amp;":"&amp;R81&amp;";")&amp;IF(S81="","",$S$5&amp;":"&amp;S81&amp;";")&amp;IF(T81="","",$T$5&amp;":"&amp;T81&amp;";")&amp;IF(U81="","",$U$5&amp;":"&amp;U81&amp;";")&amp;IF(V81="","",$V$5&amp;":"&amp;V81&amp;";")&amp;IF(W81="","",$W$5&amp;":"&amp;W81&amp;";")&amp;IF(X81="","",$X$5&amp;":"&amp;X81&amp;";")&amp;IF(Y81="","",$Y$5&amp;":"&amp;Y81&amp;";")&amp;IF(Z81="","",$Z$5&amp;":"&amp;Z81&amp;";")&amp;IF(AA81="","",$AA$5&amp;":"&amp;AA81&amp;";")&amp;IF(AB81="","",$AB$5&amp;":"&amp;AB81&amp;";")&amp;IF(AC81="","",$AC$5&amp;":"&amp;AC81&amp;";")&amp;IF(AD81="","",$AD$5&amp;":"&amp;AD81&amp;";")&amp;IF(AE81="","",$AE$5&amp;":"&amp;AE81&amp;";")&amp;IF(AF81="","",$AF$5&amp;":"&amp;AF81&amp;";")&amp;IF(AG81="","",$AG$5&amp;":"&amp;AG81&amp;";")&amp;IF(AH81="","",$AH$5&amp;":"&amp;AH81&amp;";")&amp;IF(AI81="","",$AI$5&amp;":"&amp;AI81&amp;";")&amp;IF(AJ81="","",$AJ$5&amp;":"&amp;AJ81&amp;";")&amp;IF(AK81="","",$AK$5&amp;":"&amp;AK81&amp;";")&amp;IF(AL81="","",$AL$5&amp;":"&amp;AL81&amp;";")&amp;IF(AM81="","",$AM$5&amp;":"&amp;AM81&amp;";")&amp;IF(AN81="","",$AN$5&amp;":"&amp;AN81&amp;";")&amp;IF(AO81="","",$AO$5&amp;":"&amp;AO81&amp;";")&amp;IF(AP81="","",$AP$5&amp;":"&amp;AP81&amp;";")&amp;IF(AQ81="","",$AQ$5&amp;":"&amp;AQ81&amp;";")&amp;IF(AR81="","",$AR$5&amp;":"&amp;AR81&amp;";")&amp;IF(AS81="","",$AS$5&amp;":"&amp;AS81&amp;";")&amp;IF(AT81="","",$AT$5&amp;":"&amp;AT81&amp;";")&amp;IF(AU81="","",$AU$5&amp;":"&amp;AU81&amp;";")</f>
        <v>NTS:0,7;DTL:0,05;NTD:0,01;ONT:0,24;</v>
      </c>
      <c r="M81" s="339"/>
      <c r="N81" s="339"/>
      <c r="O81" s="339"/>
      <c r="P81" s="339"/>
      <c r="Q81" s="339">
        <v>0.7</v>
      </c>
      <c r="R81" s="339"/>
      <c r="S81" s="339"/>
      <c r="T81" s="339"/>
      <c r="U81" s="339"/>
      <c r="V81" s="339"/>
      <c r="W81" s="339"/>
      <c r="X81" s="339">
        <v>0.05</v>
      </c>
      <c r="Y81" s="339"/>
      <c r="Z81" s="339"/>
      <c r="AA81" s="339"/>
      <c r="AB81" s="339"/>
      <c r="AC81" s="339"/>
      <c r="AD81" s="339"/>
      <c r="AE81" s="339"/>
      <c r="AF81" s="339"/>
      <c r="AG81" s="339"/>
      <c r="AH81" s="339">
        <v>0.01</v>
      </c>
      <c r="AI81" s="339"/>
      <c r="AJ81" s="339"/>
      <c r="AK81" s="339"/>
      <c r="AL81" s="339">
        <v>0.24</v>
      </c>
      <c r="AM81" s="339"/>
      <c r="AN81" s="339"/>
      <c r="AO81" s="339"/>
      <c r="AP81" s="339"/>
      <c r="AQ81" s="339"/>
      <c r="AR81" s="339"/>
      <c r="AS81" s="339"/>
      <c r="AT81" s="339"/>
      <c r="AU81" s="339"/>
      <c r="AV81" s="338" t="s">
        <v>318</v>
      </c>
      <c r="AW81" s="338" t="s">
        <v>318</v>
      </c>
      <c r="AX81" s="351" t="s">
        <v>783</v>
      </c>
      <c r="AY81" s="260" t="s">
        <v>783</v>
      </c>
      <c r="AZ81" s="181" t="s">
        <v>1166</v>
      </c>
      <c r="BA81" s="351"/>
      <c r="BB81" s="351"/>
      <c r="BC81" s="610"/>
      <c r="BD81" s="365"/>
      <c r="BE81" s="365"/>
      <c r="BF81" s="365" t="s">
        <v>263</v>
      </c>
      <c r="BG81" s="365"/>
      <c r="BH81" s="351"/>
    </row>
    <row r="82" spans="1:62" s="663" customFormat="1" ht="67.25" customHeight="1">
      <c r="A82" s="650">
        <f>SUBTOTAL(3,C$11:$C82)</f>
        <v>41</v>
      </c>
      <c r="B82" s="651" t="s">
        <v>419</v>
      </c>
      <c r="C82" s="652" t="s">
        <v>42</v>
      </c>
      <c r="D82" s="653">
        <v>11.05</v>
      </c>
      <c r="E82" s="653"/>
      <c r="F82" s="654">
        <f>F83+F84</f>
        <v>11.05</v>
      </c>
      <c r="G82" s="655"/>
      <c r="H82" s="656" t="s">
        <v>1167</v>
      </c>
      <c r="I82" s="656" t="s">
        <v>1168</v>
      </c>
      <c r="J82" s="656"/>
      <c r="K82" s="656"/>
      <c r="L82" s="656"/>
      <c r="M82" s="654"/>
      <c r="N82" s="654"/>
      <c r="O82" s="654"/>
      <c r="P82" s="654"/>
      <c r="Q82" s="654"/>
      <c r="R82" s="654"/>
      <c r="S82" s="654"/>
      <c r="T82" s="654"/>
      <c r="U82" s="654"/>
      <c r="V82" s="654"/>
      <c r="W82" s="654"/>
      <c r="X82" s="654"/>
      <c r="Y82" s="654"/>
      <c r="Z82" s="654"/>
      <c r="AA82" s="654"/>
      <c r="AB82" s="654"/>
      <c r="AC82" s="654"/>
      <c r="AD82" s="654"/>
      <c r="AE82" s="654"/>
      <c r="AF82" s="654"/>
      <c r="AG82" s="654"/>
      <c r="AH82" s="654"/>
      <c r="AI82" s="654"/>
      <c r="AJ82" s="654"/>
      <c r="AK82" s="654"/>
      <c r="AL82" s="654"/>
      <c r="AM82" s="654"/>
      <c r="AN82" s="654"/>
      <c r="AO82" s="654"/>
      <c r="AP82" s="654"/>
      <c r="AQ82" s="654"/>
      <c r="AR82" s="654"/>
      <c r="AS82" s="654"/>
      <c r="AT82" s="654"/>
      <c r="AU82" s="654"/>
      <c r="AV82" s="657" t="s">
        <v>1169</v>
      </c>
      <c r="AW82" s="658"/>
      <c r="AX82" s="657" t="s">
        <v>1170</v>
      </c>
      <c r="AY82" s="659"/>
      <c r="AZ82" s="660"/>
      <c r="BA82" s="657"/>
      <c r="BB82" s="657"/>
      <c r="BC82" s="661"/>
      <c r="BD82" s="661"/>
      <c r="BE82" s="661"/>
      <c r="BF82" s="661"/>
      <c r="BG82" s="661"/>
      <c r="BH82" s="657"/>
      <c r="BI82" s="662"/>
      <c r="BJ82" s="668" t="s">
        <v>1963</v>
      </c>
    </row>
    <row r="83" spans="1:62" s="663" customFormat="1" ht="49.75" customHeight="1">
      <c r="A83" s="650"/>
      <c r="B83" s="651"/>
      <c r="C83" s="652"/>
      <c r="D83" s="653"/>
      <c r="E83" s="653"/>
      <c r="F83" s="657">
        <v>6.49</v>
      </c>
      <c r="G83" s="655">
        <f t="shared" ref="G83:G100" si="10">SUM(M83:AR83)</f>
        <v>6.49</v>
      </c>
      <c r="H83" s="656" t="s">
        <v>1168</v>
      </c>
      <c r="I83" s="656" t="s">
        <v>13</v>
      </c>
      <c r="J83" s="656" t="s">
        <v>1171</v>
      </c>
      <c r="K83" s="656" t="str">
        <f t="shared" ref="K83:K100" si="11">IF(M83&lt;&gt;0,$M$5&amp;", ","")&amp;IF(N83&lt;&gt;0,$N$5&amp;", ","")&amp;IF(O83&lt;&gt;0,O$5&amp;", ","")&amp;IF(P83&lt;&gt;0,P$5&amp;", ","")&amp;IF(Q83&lt;&gt;0,Q$5&amp;", ","")&amp;IF(R83&lt;&gt;0,R$5&amp;", ","")&amp;IF(S83&lt;&gt;0,S$5&amp;", ","")&amp;IF(T83&lt;&gt;0,T$5&amp;", ","")&amp;IF(U83&lt;&gt;0,U$5&amp;", ","")&amp;IF(V83&lt;&gt;0,V$5&amp;", ","")&amp;IF(W83&lt;&gt;0,W$5&amp;", ","")&amp;IF(X83&lt;&gt;0,X$5&amp;", ","")&amp;IF(Y83&lt;&gt;0,Y$5&amp;", ","")&amp;IF(Z83&lt;&gt;0,Z$5&amp;", ","")&amp;IF(AA83&lt;&gt;0,AA$5&amp;", ","")&amp;IF(AB83&lt;&gt;0,AB$5&amp;", ","")&amp;IF(AC83&lt;&gt;0,AC$5&amp;", ","")&amp;IF(AD83&lt;&gt;0,AD$5&amp;", ","")&amp;IF(AE83&lt;&gt;0,AE$5&amp;", ","")&amp;IF(AF83&lt;&gt;0,AF$5&amp;", ","")&amp;IF(AG83&lt;&gt;0,AG$5&amp;", ","")&amp;IF(AH83&lt;&gt;0,AH$5&amp;", ","")&amp;IF(AI83&lt;&gt;0,AI$5&amp;", ","")&amp;IF(AJ83&lt;&gt;0,AJ$5&amp;", ","")&amp;IF(AK83&lt;&gt;0,AK$5&amp;", ","")&amp;IF(AL83&lt;&gt;0,AL$5&amp;", ","")&amp;IF(AM83&lt;&gt;0,AM$5&amp;", ","")&amp;IF(AN83&lt;&gt;0,AN$5&amp;", ","")&amp;IF(AO83&lt;&gt;0,AO$5&amp;", ","")&amp;IF(AP83&lt;&gt;0,AP$5&amp;", ","")&amp;IF(AQ83&lt;&gt;0,AQ$5&amp;", ","")&amp;IF(AR83&lt;&gt;0,AR$5,"")&amp;IF(AS83&lt;&gt;0,AS$5,"")&amp;IF(AT83&lt;&gt;0,AT$5,"")&amp;IF(AU83&lt;&gt;0,AU$5,"")</f>
        <v xml:space="preserve">CLN, </v>
      </c>
      <c r="L83" s="656" t="str">
        <f t="shared" ref="L83:L100" si="12">IF(M83="","",$M$5&amp;":"&amp;M83&amp;";")&amp;IF(N83="","",$N$5&amp;":"&amp;N83&amp;";")&amp;IF(O83="","",$O$5&amp;":"&amp;O83&amp;";")&amp;IF(P83="","",$P$5&amp;":"&amp;P83&amp;";")&amp;IF(Q83="","",$Q$5&amp;":"&amp;Q83&amp;";")&amp;IF(R83="","",$R$5&amp;":"&amp;R83&amp;";")&amp;IF(S83="","",$S$5&amp;":"&amp;S83&amp;";")&amp;IF(T83="","",$T$5&amp;":"&amp;T83&amp;";")&amp;IF(U83="","",$U$5&amp;":"&amp;U83&amp;";")&amp;IF(V83="","",$V$5&amp;":"&amp;V83&amp;";")&amp;IF(W83="","",$W$5&amp;":"&amp;W83&amp;";")&amp;IF(X83="","",$X$5&amp;":"&amp;X83&amp;";")&amp;IF(Y83="","",$Y$5&amp;":"&amp;Y83&amp;";")&amp;IF(Z83="","",$Z$5&amp;":"&amp;Z83&amp;";")&amp;IF(AA83="","",$AA$5&amp;":"&amp;AA83&amp;";")&amp;IF(AB83="","",$AB$5&amp;":"&amp;AB83&amp;";")&amp;IF(AC83="","",$AC$5&amp;":"&amp;AC83&amp;";")&amp;IF(AD83="","",$AD$5&amp;":"&amp;AD83&amp;";")&amp;IF(AE83="","",$AE$5&amp;":"&amp;AE83&amp;";")&amp;IF(AF83="","",$AF$5&amp;":"&amp;AF83&amp;";")&amp;IF(AG83="","",$AG$5&amp;":"&amp;AG83&amp;";")&amp;IF(AH83="","",$AH$5&amp;":"&amp;AH83&amp;";")&amp;IF(AI83="","",$AI$5&amp;":"&amp;AI83&amp;";")&amp;IF(AJ83="","",$AJ$5&amp;":"&amp;AJ83&amp;";")&amp;IF(AK83="","",$AK$5&amp;":"&amp;AK83&amp;";")&amp;IF(AL83="","",$AL$5&amp;":"&amp;AL83&amp;";")&amp;IF(AM83="","",$AM$5&amp;":"&amp;AM83&amp;";")&amp;IF(AN83="","",$AN$5&amp;":"&amp;AN83&amp;";")&amp;IF(AO83="","",$AO$5&amp;":"&amp;AO83&amp;";")&amp;IF(AP83="","",$AP$5&amp;":"&amp;AP83&amp;";")&amp;IF(AQ83="","",$AQ$5&amp;":"&amp;AQ83&amp;";")&amp;IF(AR83="","",$AR$5&amp;":"&amp;AR83&amp;";")&amp;IF(AS83="","",$AS$5&amp;":"&amp;AS83&amp;";")&amp;IF(AT83="","",$AT$5&amp;":"&amp;AT83&amp;";")&amp;IF(AU83="","",$AU$5&amp;":"&amp;AU83&amp;";")</f>
        <v>CLN:6,49;</v>
      </c>
      <c r="M83" s="657"/>
      <c r="N83" s="657"/>
      <c r="O83" s="657"/>
      <c r="P83" s="657">
        <v>6.49</v>
      </c>
      <c r="Q83" s="657"/>
      <c r="R83" s="657"/>
      <c r="S83" s="657"/>
      <c r="T83" s="657"/>
      <c r="U83" s="657"/>
      <c r="V83" s="657"/>
      <c r="W83" s="657"/>
      <c r="X83" s="657"/>
      <c r="Y83" s="657"/>
      <c r="Z83" s="657"/>
      <c r="AA83" s="657"/>
      <c r="AB83" s="657"/>
      <c r="AC83" s="657"/>
      <c r="AD83" s="657"/>
      <c r="AE83" s="657"/>
      <c r="AF83" s="657"/>
      <c r="AG83" s="657"/>
      <c r="AH83" s="657"/>
      <c r="AI83" s="657"/>
      <c r="AJ83" s="657"/>
      <c r="AK83" s="657"/>
      <c r="AL83" s="657"/>
      <c r="AM83" s="657"/>
      <c r="AN83" s="657"/>
      <c r="AO83" s="657"/>
      <c r="AP83" s="657"/>
      <c r="AQ83" s="657"/>
      <c r="AR83" s="657"/>
      <c r="AS83" s="657"/>
      <c r="AT83" s="657"/>
      <c r="AU83" s="657"/>
      <c r="AV83" s="657" t="s">
        <v>418</v>
      </c>
      <c r="AW83" s="657" t="s">
        <v>418</v>
      </c>
      <c r="AX83" s="657" t="s">
        <v>314</v>
      </c>
      <c r="AY83" s="659" t="s">
        <v>314</v>
      </c>
      <c r="AZ83" s="660" t="s">
        <v>1172</v>
      </c>
      <c r="BA83" s="657"/>
      <c r="BB83" s="657"/>
      <c r="BC83" s="664" t="s">
        <v>267</v>
      </c>
      <c r="BD83" s="665"/>
      <c r="BE83" s="665"/>
      <c r="BF83" s="665" t="s">
        <v>263</v>
      </c>
      <c r="BG83" s="665"/>
      <c r="BH83" s="657"/>
      <c r="BI83" s="662"/>
      <c r="BJ83" s="668"/>
    </row>
    <row r="84" spans="1:62" s="663" customFormat="1" ht="49.75" customHeight="1">
      <c r="A84" s="650"/>
      <c r="B84" s="651"/>
      <c r="C84" s="652"/>
      <c r="D84" s="653"/>
      <c r="E84" s="653"/>
      <c r="F84" s="657">
        <v>4.5599999999999996</v>
      </c>
      <c r="G84" s="655">
        <f t="shared" si="10"/>
        <v>4.5599999999999996</v>
      </c>
      <c r="H84" s="656" t="s">
        <v>1173</v>
      </c>
      <c r="I84" s="656" t="s">
        <v>13</v>
      </c>
      <c r="J84" s="656" t="s">
        <v>1173</v>
      </c>
      <c r="K84" s="656" t="str">
        <f t="shared" si="11"/>
        <v xml:space="preserve">CLN, </v>
      </c>
      <c r="L84" s="656" t="str">
        <f t="shared" si="12"/>
        <v>CLN:4,56;</v>
      </c>
      <c r="M84" s="657"/>
      <c r="N84" s="657"/>
      <c r="O84" s="657"/>
      <c r="P84" s="657">
        <v>4.5599999999999996</v>
      </c>
      <c r="Q84" s="657"/>
      <c r="R84" s="657"/>
      <c r="S84" s="657"/>
      <c r="T84" s="657"/>
      <c r="U84" s="657"/>
      <c r="V84" s="657"/>
      <c r="W84" s="657"/>
      <c r="X84" s="657"/>
      <c r="Y84" s="657"/>
      <c r="Z84" s="657"/>
      <c r="AA84" s="657"/>
      <c r="AB84" s="657"/>
      <c r="AC84" s="657"/>
      <c r="AD84" s="657"/>
      <c r="AE84" s="657"/>
      <c r="AF84" s="657"/>
      <c r="AG84" s="657"/>
      <c r="AH84" s="657"/>
      <c r="AI84" s="657"/>
      <c r="AJ84" s="657"/>
      <c r="AK84" s="657"/>
      <c r="AL84" s="657"/>
      <c r="AM84" s="657"/>
      <c r="AN84" s="657"/>
      <c r="AO84" s="657"/>
      <c r="AP84" s="657"/>
      <c r="AQ84" s="657"/>
      <c r="AR84" s="657"/>
      <c r="AS84" s="657"/>
      <c r="AT84" s="657"/>
      <c r="AU84" s="657"/>
      <c r="AV84" s="658" t="s">
        <v>318</v>
      </c>
      <c r="AW84" s="658" t="s">
        <v>318</v>
      </c>
      <c r="AX84" s="657" t="s">
        <v>783</v>
      </c>
      <c r="AY84" s="659" t="s">
        <v>783</v>
      </c>
      <c r="AZ84" s="660"/>
      <c r="BA84" s="657"/>
      <c r="BB84" s="657"/>
      <c r="BC84" s="666"/>
      <c r="BD84" s="667"/>
      <c r="BE84" s="667"/>
      <c r="BF84" s="667" t="s">
        <v>263</v>
      </c>
      <c r="BG84" s="667"/>
      <c r="BH84" s="657"/>
      <c r="BI84" s="662"/>
      <c r="BJ84" s="668"/>
    </row>
    <row r="85" spans="1:62" ht="42" customHeight="1">
      <c r="A85" s="344">
        <f>SUBTOTAL(3,C$11:$C85)</f>
        <v>42</v>
      </c>
      <c r="B85" s="362" t="s">
        <v>420</v>
      </c>
      <c r="C85" s="351" t="s">
        <v>42</v>
      </c>
      <c r="D85" s="351">
        <v>2.93</v>
      </c>
      <c r="E85" s="351"/>
      <c r="F85" s="351">
        <v>2.93</v>
      </c>
      <c r="G85" s="414">
        <f t="shared" si="10"/>
        <v>2.9299999999999997</v>
      </c>
      <c r="H85" s="413" t="s">
        <v>1076</v>
      </c>
      <c r="I85" s="413" t="s">
        <v>1076</v>
      </c>
      <c r="J85" s="413"/>
      <c r="K85" s="413" t="str">
        <f t="shared" si="11"/>
        <v xml:space="preserve">CLN, NTS, ONT, </v>
      </c>
      <c r="L85" s="413" t="str">
        <f t="shared" si="12"/>
        <v>CLN:1,5;NTS:0,9;ONT:0,53;</v>
      </c>
      <c r="M85" s="351"/>
      <c r="N85" s="351"/>
      <c r="O85" s="351"/>
      <c r="P85" s="351">
        <v>1.5</v>
      </c>
      <c r="Q85" s="351">
        <v>0.9</v>
      </c>
      <c r="R85" s="351"/>
      <c r="S85" s="351"/>
      <c r="T85" s="351"/>
      <c r="U85" s="351"/>
      <c r="V85" s="351"/>
      <c r="W85" s="351"/>
      <c r="X85" s="351"/>
      <c r="Y85" s="351"/>
      <c r="Z85" s="351"/>
      <c r="AA85" s="351"/>
      <c r="AB85" s="351"/>
      <c r="AC85" s="351"/>
      <c r="AD85" s="351"/>
      <c r="AE85" s="351"/>
      <c r="AF85" s="351"/>
      <c r="AG85" s="351"/>
      <c r="AH85" s="351"/>
      <c r="AI85" s="351"/>
      <c r="AJ85" s="351"/>
      <c r="AK85" s="351"/>
      <c r="AL85" s="351">
        <v>0.53</v>
      </c>
      <c r="AM85" s="351"/>
      <c r="AN85" s="351"/>
      <c r="AO85" s="351"/>
      <c r="AP85" s="351"/>
      <c r="AQ85" s="351"/>
      <c r="AR85" s="351"/>
      <c r="AS85" s="351"/>
      <c r="AT85" s="351"/>
      <c r="AU85" s="351"/>
      <c r="AV85" s="338" t="s">
        <v>318</v>
      </c>
      <c r="AW85" s="338" t="s">
        <v>318</v>
      </c>
      <c r="AX85" s="351" t="s">
        <v>1174</v>
      </c>
      <c r="AY85" s="260" t="s">
        <v>1174</v>
      </c>
      <c r="AZ85" s="181" t="s">
        <v>1175</v>
      </c>
      <c r="BA85" s="351"/>
      <c r="BB85" s="351"/>
      <c r="BC85" s="156" t="s">
        <v>316</v>
      </c>
      <c r="BD85" s="156"/>
      <c r="BE85" s="156"/>
      <c r="BF85" s="156" t="s">
        <v>263</v>
      </c>
      <c r="BG85" s="156"/>
      <c r="BH85" s="351"/>
    </row>
    <row r="86" spans="1:62" ht="51.75" customHeight="1">
      <c r="A86" s="344">
        <f>SUBTOTAL(3,C$11:$C86)</f>
        <v>43</v>
      </c>
      <c r="B86" s="362" t="s">
        <v>421</v>
      </c>
      <c r="C86" s="351" t="s">
        <v>42</v>
      </c>
      <c r="D86" s="351">
        <v>5.09</v>
      </c>
      <c r="E86" s="351"/>
      <c r="F86" s="351">
        <v>5.09</v>
      </c>
      <c r="G86" s="414">
        <f t="shared" si="10"/>
        <v>5.09</v>
      </c>
      <c r="H86" s="413" t="s">
        <v>1176</v>
      </c>
      <c r="I86" s="413" t="s">
        <v>1177</v>
      </c>
      <c r="J86" s="413" t="s">
        <v>1173</v>
      </c>
      <c r="K86" s="413" t="str">
        <f t="shared" si="11"/>
        <v xml:space="preserve">NTS, DGT, ONT, </v>
      </c>
      <c r="L86" s="413" t="str">
        <f t="shared" si="12"/>
        <v>NTS:2,59;DGT:2;ONT:0,5;</v>
      </c>
      <c r="M86" s="351"/>
      <c r="N86" s="351"/>
      <c r="O86" s="351"/>
      <c r="P86" s="351"/>
      <c r="Q86" s="351">
        <v>2.59</v>
      </c>
      <c r="R86" s="351"/>
      <c r="S86" s="351"/>
      <c r="T86" s="351"/>
      <c r="U86" s="351"/>
      <c r="V86" s="351"/>
      <c r="W86" s="351">
        <v>2</v>
      </c>
      <c r="X86" s="351"/>
      <c r="Y86" s="351"/>
      <c r="Z86" s="351"/>
      <c r="AA86" s="351"/>
      <c r="AB86" s="351"/>
      <c r="AC86" s="351"/>
      <c r="AD86" s="351"/>
      <c r="AE86" s="351"/>
      <c r="AF86" s="351"/>
      <c r="AG86" s="351"/>
      <c r="AH86" s="351"/>
      <c r="AI86" s="351"/>
      <c r="AJ86" s="351"/>
      <c r="AK86" s="351"/>
      <c r="AL86" s="351">
        <v>0.5</v>
      </c>
      <c r="AM86" s="351"/>
      <c r="AN86" s="351"/>
      <c r="AO86" s="351"/>
      <c r="AP86" s="351"/>
      <c r="AQ86" s="351"/>
      <c r="AR86" s="351"/>
      <c r="AS86" s="351"/>
      <c r="AT86" s="351"/>
      <c r="AU86" s="351"/>
      <c r="AV86" s="338" t="s">
        <v>318</v>
      </c>
      <c r="AW86" s="338" t="s">
        <v>318</v>
      </c>
      <c r="AX86" s="351" t="s">
        <v>1178</v>
      </c>
      <c r="AY86" s="260" t="s">
        <v>1178</v>
      </c>
      <c r="AZ86" s="181" t="s">
        <v>1179</v>
      </c>
      <c r="BA86" s="351" t="s">
        <v>422</v>
      </c>
      <c r="BB86" s="351"/>
      <c r="BC86" s="156" t="s">
        <v>316</v>
      </c>
      <c r="BD86" s="156"/>
      <c r="BE86" s="156"/>
      <c r="BF86" s="156"/>
      <c r="BG86" s="156" t="s">
        <v>263</v>
      </c>
      <c r="BH86" s="351"/>
    </row>
    <row r="87" spans="1:62" ht="51.75" customHeight="1">
      <c r="A87" s="344">
        <f>SUBTOTAL(3,C$11:$C87)</f>
        <v>44</v>
      </c>
      <c r="B87" s="362" t="s">
        <v>425</v>
      </c>
      <c r="C87" s="351" t="s">
        <v>42</v>
      </c>
      <c r="D87" s="351">
        <v>147</v>
      </c>
      <c r="E87" s="351">
        <f>D87-F87</f>
        <v>143.58000000000001</v>
      </c>
      <c r="F87" s="351">
        <v>3.42</v>
      </c>
      <c r="G87" s="414">
        <f t="shared" si="10"/>
        <v>34.56</v>
      </c>
      <c r="H87" s="413" t="s">
        <v>1016</v>
      </c>
      <c r="I87" s="413" t="s">
        <v>40</v>
      </c>
      <c r="J87" s="413" t="s">
        <v>1184</v>
      </c>
      <c r="K87" s="413" t="str">
        <f t="shared" si="11"/>
        <v xml:space="preserve">SON, </v>
      </c>
      <c r="L87" s="413" t="str">
        <f t="shared" si="12"/>
        <v>SON:34,56;</v>
      </c>
      <c r="M87" s="351"/>
      <c r="N87" s="351"/>
      <c r="O87" s="351"/>
      <c r="P87" s="351"/>
      <c r="Q87" s="351"/>
      <c r="R87" s="351"/>
      <c r="S87" s="351"/>
      <c r="T87" s="351"/>
      <c r="U87" s="351"/>
      <c r="V87" s="351"/>
      <c r="W87" s="351"/>
      <c r="X87" s="351"/>
      <c r="Y87" s="351"/>
      <c r="Z87" s="351"/>
      <c r="AA87" s="351"/>
      <c r="AB87" s="351"/>
      <c r="AC87" s="351"/>
      <c r="AD87" s="351"/>
      <c r="AE87" s="351"/>
      <c r="AF87" s="351"/>
      <c r="AG87" s="351"/>
      <c r="AH87" s="351"/>
      <c r="AI87" s="351"/>
      <c r="AJ87" s="351"/>
      <c r="AK87" s="351"/>
      <c r="AL87" s="351"/>
      <c r="AM87" s="351"/>
      <c r="AN87" s="351"/>
      <c r="AO87" s="351"/>
      <c r="AP87" s="351"/>
      <c r="AQ87" s="351">
        <v>34.56</v>
      </c>
      <c r="AR87" s="351"/>
      <c r="AS87" s="351"/>
      <c r="AT87" s="351"/>
      <c r="AU87" s="351"/>
      <c r="AV87" s="351" t="s">
        <v>266</v>
      </c>
      <c r="AW87" s="351" t="s">
        <v>266</v>
      </c>
      <c r="AX87" s="351" t="s">
        <v>342</v>
      </c>
      <c r="AY87" s="260" t="s">
        <v>342</v>
      </c>
      <c r="AZ87" s="181" t="s">
        <v>1185</v>
      </c>
      <c r="BA87" s="351"/>
      <c r="BB87" s="351"/>
      <c r="BC87" s="156" t="s">
        <v>316</v>
      </c>
      <c r="BD87" s="156"/>
      <c r="BE87" s="156"/>
      <c r="BF87" s="156"/>
      <c r="BG87" s="156" t="s">
        <v>263</v>
      </c>
      <c r="BH87" s="351"/>
    </row>
    <row r="88" spans="1:62" ht="48.75" customHeight="1">
      <c r="A88" s="344">
        <f>SUBTOTAL(3,C$11:$C88)</f>
        <v>45</v>
      </c>
      <c r="B88" s="337" t="s">
        <v>427</v>
      </c>
      <c r="C88" s="338" t="s">
        <v>42</v>
      </c>
      <c r="D88" s="351">
        <v>0.6</v>
      </c>
      <c r="E88" s="351"/>
      <c r="F88" s="351">
        <v>0.6</v>
      </c>
      <c r="G88" s="414">
        <f t="shared" si="10"/>
        <v>0.6</v>
      </c>
      <c r="H88" s="413" t="s">
        <v>1094</v>
      </c>
      <c r="I88" s="413" t="s">
        <v>1095</v>
      </c>
      <c r="J88" s="413"/>
      <c r="K88" s="413" t="str">
        <f t="shared" si="11"/>
        <v xml:space="preserve">LUC, HNK, </v>
      </c>
      <c r="L88" s="413" t="str">
        <f t="shared" si="12"/>
        <v>LUC:0,42;HNK:0,18;</v>
      </c>
      <c r="M88" s="351">
        <v>0.42</v>
      </c>
      <c r="N88" s="351"/>
      <c r="O88" s="351">
        <v>0.18</v>
      </c>
      <c r="P88" s="351"/>
      <c r="Q88" s="351"/>
      <c r="R88" s="351"/>
      <c r="S88" s="351"/>
      <c r="T88" s="351"/>
      <c r="U88" s="351"/>
      <c r="V88" s="351"/>
      <c r="W88" s="351"/>
      <c r="X88" s="351"/>
      <c r="Y88" s="351"/>
      <c r="Z88" s="351"/>
      <c r="AA88" s="351"/>
      <c r="AB88" s="351"/>
      <c r="AC88" s="351"/>
      <c r="AD88" s="351"/>
      <c r="AE88" s="351"/>
      <c r="AF88" s="351"/>
      <c r="AG88" s="351"/>
      <c r="AH88" s="351"/>
      <c r="AI88" s="351"/>
      <c r="AJ88" s="351"/>
      <c r="AK88" s="351"/>
      <c r="AL88" s="351"/>
      <c r="AM88" s="351"/>
      <c r="AN88" s="351"/>
      <c r="AO88" s="351"/>
      <c r="AP88" s="351"/>
      <c r="AQ88" s="351"/>
      <c r="AR88" s="351"/>
      <c r="AS88" s="351"/>
      <c r="AT88" s="351"/>
      <c r="AU88" s="351"/>
      <c r="AV88" s="338" t="s">
        <v>277</v>
      </c>
      <c r="AW88" s="338" t="s">
        <v>277</v>
      </c>
      <c r="AX88" s="351" t="s">
        <v>335</v>
      </c>
      <c r="AY88" s="260" t="s">
        <v>335</v>
      </c>
      <c r="AZ88" s="181" t="s">
        <v>1186</v>
      </c>
      <c r="BA88" s="351"/>
      <c r="BB88" s="351"/>
      <c r="BC88" s="156" t="s">
        <v>267</v>
      </c>
      <c r="BD88" s="156"/>
      <c r="BE88" s="156"/>
      <c r="BF88" s="156" t="s">
        <v>263</v>
      </c>
      <c r="BG88" s="156"/>
      <c r="BH88" s="351"/>
    </row>
    <row r="89" spans="1:62" ht="66.650000000000006" customHeight="1">
      <c r="A89" s="344">
        <f>SUBTOTAL(3,C$11:$C89)</f>
        <v>46</v>
      </c>
      <c r="B89" s="362" t="s">
        <v>428</v>
      </c>
      <c r="C89" s="351" t="s">
        <v>42</v>
      </c>
      <c r="D89" s="351">
        <v>7.0000000000000007E-2</v>
      </c>
      <c r="E89" s="351"/>
      <c r="F89" s="351">
        <v>7.0000000000000007E-2</v>
      </c>
      <c r="G89" s="414">
        <f t="shared" si="10"/>
        <v>7.0000000000000007E-2</v>
      </c>
      <c r="H89" s="413" t="s">
        <v>5</v>
      </c>
      <c r="I89" s="413" t="s">
        <v>7</v>
      </c>
      <c r="J89" s="413"/>
      <c r="K89" s="413" t="str">
        <f t="shared" si="11"/>
        <v xml:space="preserve">LUC, </v>
      </c>
      <c r="L89" s="413" t="str">
        <f t="shared" si="12"/>
        <v>LUC:0,07;</v>
      </c>
      <c r="M89" s="351">
        <v>7.0000000000000007E-2</v>
      </c>
      <c r="N89" s="351"/>
      <c r="O89" s="351"/>
      <c r="P89" s="351"/>
      <c r="Q89" s="351"/>
      <c r="R89" s="351"/>
      <c r="S89" s="351"/>
      <c r="T89" s="351"/>
      <c r="U89" s="351"/>
      <c r="V89" s="351"/>
      <c r="W89" s="351"/>
      <c r="X89" s="351"/>
      <c r="Y89" s="351"/>
      <c r="Z89" s="351"/>
      <c r="AA89" s="351"/>
      <c r="AB89" s="351"/>
      <c r="AC89" s="351"/>
      <c r="AD89" s="351"/>
      <c r="AE89" s="351"/>
      <c r="AF89" s="351"/>
      <c r="AG89" s="351"/>
      <c r="AH89" s="351"/>
      <c r="AI89" s="351"/>
      <c r="AJ89" s="351"/>
      <c r="AK89" s="351"/>
      <c r="AL89" s="351"/>
      <c r="AM89" s="351"/>
      <c r="AN89" s="351"/>
      <c r="AO89" s="351"/>
      <c r="AP89" s="351"/>
      <c r="AQ89" s="351"/>
      <c r="AR89" s="351"/>
      <c r="AS89" s="351"/>
      <c r="AT89" s="351"/>
      <c r="AU89" s="351"/>
      <c r="AV89" s="351" t="s">
        <v>300</v>
      </c>
      <c r="AW89" s="351" t="s">
        <v>300</v>
      </c>
      <c r="AX89" s="351" t="s">
        <v>429</v>
      </c>
      <c r="AY89" s="260" t="s">
        <v>429</v>
      </c>
      <c r="AZ89" s="181" t="s">
        <v>1187</v>
      </c>
      <c r="BA89" s="351"/>
      <c r="BB89" s="351"/>
      <c r="BC89" s="156" t="s">
        <v>316</v>
      </c>
      <c r="BD89" s="156"/>
      <c r="BE89" s="156"/>
      <c r="BF89" s="156" t="s">
        <v>263</v>
      </c>
      <c r="BG89" s="156"/>
      <c r="BH89" s="351"/>
    </row>
    <row r="90" spans="1:62" ht="53.25" customHeight="1">
      <c r="A90" s="344">
        <f>SUBTOTAL(3,C$11:$C90)</f>
        <v>47</v>
      </c>
      <c r="B90" s="362" t="s">
        <v>402</v>
      </c>
      <c r="C90" s="351" t="s">
        <v>42</v>
      </c>
      <c r="D90" s="191">
        <v>5</v>
      </c>
      <c r="E90" s="350"/>
      <c r="F90" s="191">
        <v>5</v>
      </c>
      <c r="G90" s="414">
        <f t="shared" si="10"/>
        <v>5</v>
      </c>
      <c r="H90" s="413" t="s">
        <v>1120</v>
      </c>
      <c r="I90" s="413" t="s">
        <v>1120</v>
      </c>
      <c r="J90" s="413"/>
      <c r="K90" s="413" t="str">
        <f t="shared" si="11"/>
        <v xml:space="preserve">HNK, CLN, </v>
      </c>
      <c r="L90" s="413" t="str">
        <f t="shared" si="12"/>
        <v>HNK:2,5;CLN:2,5;</v>
      </c>
      <c r="M90" s="191"/>
      <c r="N90" s="191"/>
      <c r="O90" s="191">
        <v>2.5</v>
      </c>
      <c r="P90" s="191">
        <v>2.5</v>
      </c>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191"/>
      <c r="AP90" s="191"/>
      <c r="AQ90" s="191"/>
      <c r="AR90" s="191"/>
      <c r="AS90" s="191"/>
      <c r="AT90" s="191"/>
      <c r="AU90" s="191"/>
      <c r="AV90" s="350" t="s">
        <v>269</v>
      </c>
      <c r="AW90" s="350" t="s">
        <v>269</v>
      </c>
      <c r="AX90" s="192"/>
      <c r="AY90" s="262"/>
      <c r="AZ90" s="187"/>
      <c r="BA90" s="192"/>
      <c r="BB90" s="192"/>
      <c r="BC90" s="184" t="s">
        <v>270</v>
      </c>
      <c r="BD90" s="184"/>
      <c r="BE90" s="184"/>
      <c r="BF90" s="184" t="s">
        <v>263</v>
      </c>
      <c r="BG90" s="184"/>
      <c r="BH90" s="192"/>
    </row>
    <row r="91" spans="1:62" ht="42" customHeight="1">
      <c r="A91" s="344">
        <f>SUBTOTAL(3,C$11:$C91)</f>
        <v>48</v>
      </c>
      <c r="B91" s="337" t="s">
        <v>403</v>
      </c>
      <c r="C91" s="338" t="s">
        <v>42</v>
      </c>
      <c r="D91" s="339">
        <v>2.3849999999999998</v>
      </c>
      <c r="E91" s="339">
        <v>1.325</v>
      </c>
      <c r="F91" s="339">
        <v>1.06</v>
      </c>
      <c r="G91" s="414">
        <f t="shared" si="10"/>
        <v>1.06</v>
      </c>
      <c r="H91" s="413" t="s">
        <v>40</v>
      </c>
      <c r="I91" s="413" t="s">
        <v>40</v>
      </c>
      <c r="J91" s="413"/>
      <c r="K91" s="413" t="str">
        <f t="shared" si="11"/>
        <v xml:space="preserve">SON, </v>
      </c>
      <c r="L91" s="413" t="str">
        <f t="shared" si="12"/>
        <v>SON:1,06;</v>
      </c>
      <c r="M91" s="339"/>
      <c r="N91" s="339"/>
      <c r="O91" s="339"/>
      <c r="P91" s="339"/>
      <c r="Q91" s="339"/>
      <c r="R91" s="339"/>
      <c r="S91" s="339"/>
      <c r="T91" s="339"/>
      <c r="U91" s="339"/>
      <c r="V91" s="339"/>
      <c r="W91" s="339"/>
      <c r="X91" s="339"/>
      <c r="Y91" s="339"/>
      <c r="Z91" s="339"/>
      <c r="AA91" s="339"/>
      <c r="AB91" s="339"/>
      <c r="AC91" s="339"/>
      <c r="AD91" s="339"/>
      <c r="AE91" s="339"/>
      <c r="AF91" s="339"/>
      <c r="AG91" s="339"/>
      <c r="AH91" s="339"/>
      <c r="AI91" s="339"/>
      <c r="AJ91" s="339"/>
      <c r="AK91" s="339"/>
      <c r="AL91" s="339"/>
      <c r="AM91" s="339"/>
      <c r="AN91" s="339"/>
      <c r="AO91" s="339"/>
      <c r="AP91" s="339"/>
      <c r="AQ91" s="339">
        <v>1.06</v>
      </c>
      <c r="AR91" s="339"/>
      <c r="AS91" s="339"/>
      <c r="AT91" s="339"/>
      <c r="AU91" s="339"/>
      <c r="AV91" s="350" t="s">
        <v>283</v>
      </c>
      <c r="AW91" s="350" t="s">
        <v>283</v>
      </c>
      <c r="AX91" s="350" t="s">
        <v>1121</v>
      </c>
      <c r="AY91" s="356" t="s">
        <v>1121</v>
      </c>
      <c r="AZ91" s="352" t="s">
        <v>1122</v>
      </c>
      <c r="BA91" s="350"/>
      <c r="BB91" s="350"/>
      <c r="BC91" s="184" t="s">
        <v>270</v>
      </c>
      <c r="BD91" s="184"/>
      <c r="BE91" s="184"/>
      <c r="BF91" s="184" t="s">
        <v>263</v>
      </c>
      <c r="BG91" s="184"/>
      <c r="BH91" s="350"/>
    </row>
    <row r="92" spans="1:62" ht="36" customHeight="1">
      <c r="A92" s="344">
        <f>SUBTOTAL(3,C$11:$C92)</f>
        <v>49</v>
      </c>
      <c r="B92" s="337" t="s">
        <v>404</v>
      </c>
      <c r="C92" s="338" t="s">
        <v>42</v>
      </c>
      <c r="D92" s="339">
        <v>0.2</v>
      </c>
      <c r="E92" s="339"/>
      <c r="F92" s="339">
        <v>0.2</v>
      </c>
      <c r="G92" s="414">
        <f t="shared" si="10"/>
        <v>0.2</v>
      </c>
      <c r="H92" s="413" t="s">
        <v>1123</v>
      </c>
      <c r="I92" s="413" t="s">
        <v>1124</v>
      </c>
      <c r="J92" s="413"/>
      <c r="K92" s="413" t="str">
        <f t="shared" si="11"/>
        <v xml:space="preserve">LUC, DGT, </v>
      </c>
      <c r="L92" s="413" t="str">
        <f t="shared" si="12"/>
        <v>LUC:0,1;DGT:0,1;</v>
      </c>
      <c r="M92" s="339">
        <v>0.1</v>
      </c>
      <c r="N92" s="339"/>
      <c r="O92" s="339"/>
      <c r="P92" s="339"/>
      <c r="Q92" s="339"/>
      <c r="R92" s="339"/>
      <c r="S92" s="339"/>
      <c r="T92" s="339"/>
      <c r="U92" s="339"/>
      <c r="V92" s="339"/>
      <c r="W92" s="339">
        <v>0.1</v>
      </c>
      <c r="X92" s="339"/>
      <c r="Y92" s="339"/>
      <c r="Z92" s="339"/>
      <c r="AA92" s="339"/>
      <c r="AB92" s="339"/>
      <c r="AC92" s="339"/>
      <c r="AD92" s="339"/>
      <c r="AE92" s="339"/>
      <c r="AF92" s="339"/>
      <c r="AG92" s="339"/>
      <c r="AH92" s="339"/>
      <c r="AI92" s="339"/>
      <c r="AJ92" s="339"/>
      <c r="AK92" s="339"/>
      <c r="AL92" s="339"/>
      <c r="AM92" s="339"/>
      <c r="AN92" s="339"/>
      <c r="AO92" s="339"/>
      <c r="AP92" s="339"/>
      <c r="AQ92" s="339"/>
      <c r="AR92" s="339"/>
      <c r="AS92" s="339"/>
      <c r="AT92" s="339"/>
      <c r="AU92" s="339"/>
      <c r="AV92" s="350" t="s">
        <v>283</v>
      </c>
      <c r="AW92" s="350" t="s">
        <v>283</v>
      </c>
      <c r="AX92" s="350" t="s">
        <v>1125</v>
      </c>
      <c r="AY92" s="356" t="s">
        <v>1125</v>
      </c>
      <c r="AZ92" s="352" t="s">
        <v>1126</v>
      </c>
      <c r="BA92" s="350"/>
      <c r="BB92" s="350"/>
      <c r="BC92" s="184" t="s">
        <v>270</v>
      </c>
      <c r="BD92" s="184"/>
      <c r="BE92" s="184"/>
      <c r="BF92" s="184" t="s">
        <v>263</v>
      </c>
      <c r="BG92" s="184"/>
      <c r="BH92" s="350"/>
    </row>
    <row r="93" spans="1:62" ht="36" customHeight="1">
      <c r="A93" s="344">
        <f>SUBTOTAL(3,C$11:$C93)</f>
        <v>50</v>
      </c>
      <c r="B93" s="337" t="s">
        <v>405</v>
      </c>
      <c r="C93" s="338" t="s">
        <v>42</v>
      </c>
      <c r="D93" s="339">
        <v>0.2</v>
      </c>
      <c r="E93" s="339"/>
      <c r="F93" s="339">
        <v>0.2</v>
      </c>
      <c r="G93" s="414">
        <f t="shared" si="10"/>
        <v>0.2</v>
      </c>
      <c r="H93" s="413" t="s">
        <v>1123</v>
      </c>
      <c r="I93" s="413" t="s">
        <v>1124</v>
      </c>
      <c r="J93" s="413"/>
      <c r="K93" s="413" t="str">
        <f t="shared" si="11"/>
        <v xml:space="preserve">LUC, DGT, </v>
      </c>
      <c r="L93" s="413" t="str">
        <f t="shared" si="12"/>
        <v>LUC:0,1;DGT:0,1;</v>
      </c>
      <c r="M93" s="339">
        <v>0.1</v>
      </c>
      <c r="N93" s="339"/>
      <c r="O93" s="339"/>
      <c r="P93" s="339"/>
      <c r="Q93" s="339"/>
      <c r="R93" s="339"/>
      <c r="S93" s="339"/>
      <c r="T93" s="339"/>
      <c r="U93" s="339"/>
      <c r="V93" s="339"/>
      <c r="W93" s="339">
        <v>0.1</v>
      </c>
      <c r="X93" s="339"/>
      <c r="Y93" s="339"/>
      <c r="Z93" s="339"/>
      <c r="AA93" s="339"/>
      <c r="AB93" s="339"/>
      <c r="AC93" s="339"/>
      <c r="AD93" s="339"/>
      <c r="AE93" s="339"/>
      <c r="AF93" s="339"/>
      <c r="AG93" s="339"/>
      <c r="AH93" s="339"/>
      <c r="AI93" s="339"/>
      <c r="AJ93" s="339"/>
      <c r="AK93" s="339"/>
      <c r="AL93" s="339"/>
      <c r="AM93" s="339"/>
      <c r="AN93" s="339"/>
      <c r="AO93" s="339"/>
      <c r="AP93" s="339"/>
      <c r="AQ93" s="339"/>
      <c r="AR93" s="339"/>
      <c r="AS93" s="339"/>
      <c r="AT93" s="339"/>
      <c r="AU93" s="339"/>
      <c r="AV93" s="350" t="s">
        <v>283</v>
      </c>
      <c r="AW93" s="350" t="s">
        <v>283</v>
      </c>
      <c r="AX93" s="350" t="s">
        <v>1125</v>
      </c>
      <c r="AY93" s="356" t="s">
        <v>1125</v>
      </c>
      <c r="AZ93" s="352" t="s">
        <v>1127</v>
      </c>
      <c r="BA93" s="350"/>
      <c r="BB93" s="350"/>
      <c r="BC93" s="184" t="s">
        <v>270</v>
      </c>
      <c r="BD93" s="184"/>
      <c r="BE93" s="184"/>
      <c r="BF93" s="184" t="s">
        <v>263</v>
      </c>
      <c r="BG93" s="184"/>
      <c r="BH93" s="350"/>
    </row>
    <row r="94" spans="1:62" ht="164.25" customHeight="1">
      <c r="A94" s="344">
        <f>SUBTOTAL(3,C$11:$C94)</f>
        <v>51</v>
      </c>
      <c r="B94" s="337" t="s">
        <v>406</v>
      </c>
      <c r="C94" s="338" t="s">
        <v>42</v>
      </c>
      <c r="D94" s="339">
        <v>0.93</v>
      </c>
      <c r="E94" s="350"/>
      <c r="F94" s="339">
        <v>0.93</v>
      </c>
      <c r="G94" s="414">
        <f t="shared" si="10"/>
        <v>0.92999999999999994</v>
      </c>
      <c r="H94" s="413" t="s">
        <v>1128</v>
      </c>
      <c r="I94" s="413" t="s">
        <v>1129</v>
      </c>
      <c r="J94" s="413"/>
      <c r="K94" s="413" t="str">
        <f t="shared" si="11"/>
        <v xml:space="preserve">LUC, CLN, NTS, NKH, DGT, ONT, SON, </v>
      </c>
      <c r="L94" s="413" t="str">
        <f t="shared" si="12"/>
        <v>LUC:0,14;CLN:0,18;NTS:0,07;NKH:0,02;DGT:0,21;ONT:0,23;SON:0,08;</v>
      </c>
      <c r="M94" s="339">
        <v>0.14000000000000001</v>
      </c>
      <c r="N94" s="339"/>
      <c r="O94" s="339"/>
      <c r="P94" s="339">
        <v>0.18</v>
      </c>
      <c r="Q94" s="339">
        <v>7.0000000000000007E-2</v>
      </c>
      <c r="R94" s="339">
        <v>0.02</v>
      </c>
      <c r="S94" s="339"/>
      <c r="T94" s="339"/>
      <c r="U94" s="339"/>
      <c r="V94" s="339"/>
      <c r="W94" s="339">
        <v>0.21</v>
      </c>
      <c r="X94" s="339"/>
      <c r="Y94" s="339"/>
      <c r="Z94" s="339"/>
      <c r="AA94" s="339"/>
      <c r="AB94" s="339"/>
      <c r="AC94" s="339"/>
      <c r="AD94" s="339"/>
      <c r="AE94" s="339"/>
      <c r="AF94" s="339"/>
      <c r="AG94" s="339"/>
      <c r="AH94" s="339"/>
      <c r="AI94" s="339"/>
      <c r="AJ94" s="339"/>
      <c r="AK94" s="339"/>
      <c r="AL94" s="339">
        <v>0.23</v>
      </c>
      <c r="AM94" s="339"/>
      <c r="AN94" s="339"/>
      <c r="AO94" s="339"/>
      <c r="AP94" s="339"/>
      <c r="AQ94" s="339">
        <v>0.08</v>
      </c>
      <c r="AR94" s="339"/>
      <c r="AS94" s="339"/>
      <c r="AT94" s="339"/>
      <c r="AU94" s="339"/>
      <c r="AV94" s="350" t="s">
        <v>283</v>
      </c>
      <c r="AW94" s="350" t="s">
        <v>283</v>
      </c>
      <c r="AX94" s="350" t="s">
        <v>407</v>
      </c>
      <c r="AY94" s="356" t="s">
        <v>407</v>
      </c>
      <c r="AZ94" s="352" t="s">
        <v>1130</v>
      </c>
      <c r="BA94" s="350"/>
      <c r="BB94" s="350"/>
      <c r="BC94" s="184" t="s">
        <v>270</v>
      </c>
      <c r="BD94" s="184"/>
      <c r="BE94" s="184"/>
      <c r="BF94" s="184" t="s">
        <v>263</v>
      </c>
      <c r="BG94" s="184"/>
      <c r="BH94" s="350"/>
    </row>
    <row r="95" spans="1:62" ht="35.15" customHeight="1">
      <c r="A95" s="344">
        <f>SUBTOTAL(3,C$11:$C95)</f>
        <v>52</v>
      </c>
      <c r="B95" s="337" t="s">
        <v>408</v>
      </c>
      <c r="C95" s="338" t="s">
        <v>42</v>
      </c>
      <c r="D95" s="339">
        <v>0.35</v>
      </c>
      <c r="E95" s="350"/>
      <c r="F95" s="339">
        <v>0.35</v>
      </c>
      <c r="G95" s="414">
        <f t="shared" si="10"/>
        <v>0.35000000000000003</v>
      </c>
      <c r="H95" s="413" t="s">
        <v>1131</v>
      </c>
      <c r="I95" s="413" t="s">
        <v>1132</v>
      </c>
      <c r="J95" s="413"/>
      <c r="K95" s="413" t="str">
        <f t="shared" si="11"/>
        <v xml:space="preserve">LUC, DGT, ONT, </v>
      </c>
      <c r="L95" s="413" t="str">
        <f t="shared" si="12"/>
        <v>LUC:0,07;DGT:0,21;ONT:0,07;</v>
      </c>
      <c r="M95" s="339">
        <v>7.0000000000000007E-2</v>
      </c>
      <c r="N95" s="339"/>
      <c r="O95" s="339"/>
      <c r="P95" s="339"/>
      <c r="Q95" s="339"/>
      <c r="R95" s="339"/>
      <c r="S95" s="339"/>
      <c r="T95" s="339"/>
      <c r="U95" s="339"/>
      <c r="V95" s="339"/>
      <c r="W95" s="339">
        <v>0.21</v>
      </c>
      <c r="X95" s="339"/>
      <c r="Y95" s="339"/>
      <c r="Z95" s="339"/>
      <c r="AA95" s="339"/>
      <c r="AB95" s="339"/>
      <c r="AC95" s="339"/>
      <c r="AD95" s="339"/>
      <c r="AE95" s="339"/>
      <c r="AF95" s="339"/>
      <c r="AG95" s="339"/>
      <c r="AH95" s="339"/>
      <c r="AI95" s="339"/>
      <c r="AJ95" s="339"/>
      <c r="AK95" s="339"/>
      <c r="AL95" s="339">
        <v>7.0000000000000007E-2</v>
      </c>
      <c r="AM95" s="339"/>
      <c r="AN95" s="339"/>
      <c r="AO95" s="339"/>
      <c r="AP95" s="339"/>
      <c r="AQ95" s="339"/>
      <c r="AR95" s="339"/>
      <c r="AS95" s="339"/>
      <c r="AT95" s="339"/>
      <c r="AU95" s="339"/>
      <c r="AV95" s="350" t="s">
        <v>283</v>
      </c>
      <c r="AW95" s="350" t="s">
        <v>283</v>
      </c>
      <c r="AX95" s="350" t="s">
        <v>1125</v>
      </c>
      <c r="AY95" s="356" t="s">
        <v>1125</v>
      </c>
      <c r="AZ95" s="352" t="s">
        <v>1133</v>
      </c>
      <c r="BA95" s="350"/>
      <c r="BB95" s="350"/>
      <c r="BC95" s="184" t="s">
        <v>270</v>
      </c>
      <c r="BD95" s="184"/>
      <c r="BE95" s="184"/>
      <c r="BF95" s="184" t="s">
        <v>263</v>
      </c>
      <c r="BG95" s="184"/>
      <c r="BH95" s="350"/>
    </row>
    <row r="96" spans="1:62" ht="35.15" customHeight="1">
      <c r="A96" s="344">
        <f>SUBTOTAL(3,C$11:$C96)</f>
        <v>53</v>
      </c>
      <c r="B96" s="337" t="s">
        <v>409</v>
      </c>
      <c r="C96" s="338" t="s">
        <v>42</v>
      </c>
      <c r="D96" s="339">
        <v>0.12</v>
      </c>
      <c r="E96" s="339"/>
      <c r="F96" s="339">
        <v>0.12</v>
      </c>
      <c r="G96" s="414">
        <f t="shared" si="10"/>
        <v>0.12000000000000001</v>
      </c>
      <c r="H96" s="413" t="s">
        <v>1120</v>
      </c>
      <c r="I96" s="413" t="s">
        <v>1120</v>
      </c>
      <c r="J96" s="413"/>
      <c r="K96" s="413" t="str">
        <f t="shared" si="11"/>
        <v xml:space="preserve">HNK, CLN, </v>
      </c>
      <c r="L96" s="413" t="str">
        <f t="shared" si="12"/>
        <v>HNK:0,1;CLN:0,02;</v>
      </c>
      <c r="M96" s="339"/>
      <c r="N96" s="339"/>
      <c r="O96" s="339">
        <v>0.1</v>
      </c>
      <c r="P96" s="339">
        <v>0.02</v>
      </c>
      <c r="Q96" s="339"/>
      <c r="R96" s="339"/>
      <c r="S96" s="339"/>
      <c r="T96" s="339"/>
      <c r="U96" s="339"/>
      <c r="V96" s="339"/>
      <c r="W96" s="339"/>
      <c r="X96" s="339"/>
      <c r="Y96" s="339"/>
      <c r="Z96" s="339"/>
      <c r="AA96" s="339"/>
      <c r="AB96" s="339"/>
      <c r="AC96" s="339"/>
      <c r="AD96" s="339"/>
      <c r="AE96" s="339"/>
      <c r="AF96" s="339"/>
      <c r="AG96" s="339"/>
      <c r="AH96" s="339"/>
      <c r="AI96" s="339"/>
      <c r="AJ96" s="339"/>
      <c r="AK96" s="339"/>
      <c r="AL96" s="339"/>
      <c r="AM96" s="339"/>
      <c r="AN96" s="339"/>
      <c r="AO96" s="339"/>
      <c r="AP96" s="339"/>
      <c r="AQ96" s="339"/>
      <c r="AR96" s="339"/>
      <c r="AS96" s="339"/>
      <c r="AT96" s="339"/>
      <c r="AU96" s="339"/>
      <c r="AV96" s="338" t="s">
        <v>289</v>
      </c>
      <c r="AW96" s="338" t="s">
        <v>289</v>
      </c>
      <c r="AX96" s="350" t="s">
        <v>995</v>
      </c>
      <c r="AY96" s="356" t="s">
        <v>995</v>
      </c>
      <c r="AZ96" s="352" t="s">
        <v>1134</v>
      </c>
      <c r="BA96" s="350"/>
      <c r="BB96" s="350"/>
      <c r="BC96" s="184" t="s">
        <v>270</v>
      </c>
      <c r="BD96" s="184"/>
      <c r="BE96" s="184"/>
      <c r="BF96" s="184"/>
      <c r="BG96" s="184" t="s">
        <v>263</v>
      </c>
      <c r="BH96" s="350"/>
    </row>
    <row r="97" spans="1:62" ht="72" customHeight="1">
      <c r="A97" s="344">
        <f>SUBTOTAL(3,C$11:$C97)</f>
        <v>54</v>
      </c>
      <c r="B97" s="337" t="s">
        <v>410</v>
      </c>
      <c r="C97" s="338" t="s">
        <v>42</v>
      </c>
      <c r="D97" s="339">
        <v>0.32</v>
      </c>
      <c r="E97" s="339"/>
      <c r="F97" s="339">
        <v>0.32</v>
      </c>
      <c r="G97" s="414">
        <f t="shared" si="10"/>
        <v>0.32</v>
      </c>
      <c r="H97" s="413" t="s">
        <v>1135</v>
      </c>
      <c r="I97" s="413" t="s">
        <v>1136</v>
      </c>
      <c r="J97" s="413"/>
      <c r="K97" s="413" t="str">
        <f t="shared" si="11"/>
        <v xml:space="preserve">LUC, ONT, </v>
      </c>
      <c r="L97" s="413" t="str">
        <f t="shared" si="12"/>
        <v>LUC:0,22;ONT:0,1;</v>
      </c>
      <c r="M97" s="339">
        <v>0.22</v>
      </c>
      <c r="N97" s="339"/>
      <c r="O97" s="339"/>
      <c r="P97" s="339"/>
      <c r="Q97" s="339"/>
      <c r="R97" s="339"/>
      <c r="S97" s="339"/>
      <c r="T97" s="339"/>
      <c r="U97" s="339"/>
      <c r="V97" s="339"/>
      <c r="W97" s="339"/>
      <c r="X97" s="339"/>
      <c r="Y97" s="339"/>
      <c r="Z97" s="339"/>
      <c r="AA97" s="339"/>
      <c r="AB97" s="339"/>
      <c r="AC97" s="339"/>
      <c r="AD97" s="339"/>
      <c r="AE97" s="339"/>
      <c r="AF97" s="339"/>
      <c r="AG97" s="339"/>
      <c r="AH97" s="339"/>
      <c r="AI97" s="339"/>
      <c r="AJ97" s="339"/>
      <c r="AK97" s="339"/>
      <c r="AL97" s="339">
        <v>0.1</v>
      </c>
      <c r="AM97" s="339"/>
      <c r="AN97" s="339"/>
      <c r="AO97" s="339"/>
      <c r="AP97" s="339"/>
      <c r="AQ97" s="339"/>
      <c r="AR97" s="339"/>
      <c r="AS97" s="339"/>
      <c r="AT97" s="339"/>
      <c r="AU97" s="339"/>
      <c r="AV97" s="193" t="s">
        <v>306</v>
      </c>
      <c r="AW97" s="193" t="s">
        <v>306</v>
      </c>
      <c r="AX97" s="350" t="s">
        <v>411</v>
      </c>
      <c r="AY97" s="356" t="s">
        <v>411</v>
      </c>
      <c r="AZ97" s="352" t="s">
        <v>1137</v>
      </c>
      <c r="BA97" s="350"/>
      <c r="BB97" s="350"/>
      <c r="BC97" s="184" t="s">
        <v>270</v>
      </c>
      <c r="BD97" s="184"/>
      <c r="BE97" s="184"/>
      <c r="BF97" s="184" t="s">
        <v>263</v>
      </c>
      <c r="BG97" s="184"/>
      <c r="BH97" s="350"/>
    </row>
    <row r="98" spans="1:62" ht="42" customHeight="1">
      <c r="A98" s="344">
        <f>SUBTOTAL(3,C$11:$C98)</f>
        <v>55</v>
      </c>
      <c r="B98" s="362" t="s">
        <v>1743</v>
      </c>
      <c r="C98" s="351" t="s">
        <v>42</v>
      </c>
      <c r="D98" s="351">
        <v>7.57</v>
      </c>
      <c r="E98" s="351"/>
      <c r="F98" s="351">
        <v>7.57</v>
      </c>
      <c r="G98" s="414">
        <f t="shared" si="10"/>
        <v>7.57</v>
      </c>
      <c r="H98" s="413" t="s">
        <v>40</v>
      </c>
      <c r="I98" s="413" t="s">
        <v>40</v>
      </c>
      <c r="J98" s="413"/>
      <c r="K98" s="413" t="str">
        <f t="shared" si="11"/>
        <v xml:space="preserve">SON, </v>
      </c>
      <c r="L98" s="413" t="str">
        <f t="shared" si="12"/>
        <v>SON:7,57;</v>
      </c>
      <c r="M98" s="351"/>
      <c r="N98" s="351"/>
      <c r="O98" s="351"/>
      <c r="P98" s="351"/>
      <c r="Q98" s="351"/>
      <c r="R98" s="351"/>
      <c r="S98" s="351"/>
      <c r="T98" s="351"/>
      <c r="U98" s="351"/>
      <c r="V98" s="351"/>
      <c r="W98" s="351"/>
      <c r="X98" s="351"/>
      <c r="Y98" s="351"/>
      <c r="Z98" s="351"/>
      <c r="AA98" s="351"/>
      <c r="AB98" s="351"/>
      <c r="AC98" s="351"/>
      <c r="AD98" s="351"/>
      <c r="AE98" s="351"/>
      <c r="AF98" s="351"/>
      <c r="AG98" s="351"/>
      <c r="AH98" s="351"/>
      <c r="AI98" s="351"/>
      <c r="AJ98" s="351"/>
      <c r="AK98" s="351"/>
      <c r="AL98" s="351"/>
      <c r="AM98" s="351"/>
      <c r="AN98" s="351"/>
      <c r="AO98" s="351"/>
      <c r="AP98" s="351"/>
      <c r="AQ98" s="351">
        <v>7.57</v>
      </c>
      <c r="AR98" s="351"/>
      <c r="AS98" s="351"/>
      <c r="AT98" s="351"/>
      <c r="AU98" s="351"/>
      <c r="AV98" s="351" t="s">
        <v>266</v>
      </c>
      <c r="AW98" s="351" t="s">
        <v>266</v>
      </c>
      <c r="AX98" s="351" t="s">
        <v>332</v>
      </c>
      <c r="AY98" s="260" t="s">
        <v>332</v>
      </c>
      <c r="AZ98" s="181" t="s">
        <v>1180</v>
      </c>
      <c r="BA98" s="351"/>
      <c r="BB98" s="351"/>
      <c r="BC98" s="156" t="s">
        <v>316</v>
      </c>
      <c r="BD98" s="156"/>
      <c r="BE98" s="156"/>
      <c r="BF98" s="156" t="s">
        <v>263</v>
      </c>
      <c r="BG98" s="156"/>
      <c r="BH98" s="351"/>
    </row>
    <row r="99" spans="1:62" ht="42" customHeight="1">
      <c r="A99" s="344">
        <f>SUBTOTAL(3,C$11:$C99)</f>
        <v>56</v>
      </c>
      <c r="B99" s="362" t="s">
        <v>423</v>
      </c>
      <c r="C99" s="351" t="s">
        <v>42</v>
      </c>
      <c r="D99" s="351">
        <v>9.69</v>
      </c>
      <c r="E99" s="351"/>
      <c r="F99" s="351">
        <v>9.69</v>
      </c>
      <c r="G99" s="414">
        <f t="shared" si="10"/>
        <v>9.69</v>
      </c>
      <c r="H99" s="413" t="s">
        <v>1035</v>
      </c>
      <c r="I99" s="413" t="s">
        <v>40</v>
      </c>
      <c r="J99" s="413" t="s">
        <v>1037</v>
      </c>
      <c r="K99" s="413" t="str">
        <f t="shared" si="11"/>
        <v xml:space="preserve">SON, </v>
      </c>
      <c r="L99" s="413" t="str">
        <f t="shared" si="12"/>
        <v>SON:9,69;</v>
      </c>
      <c r="M99" s="351"/>
      <c r="N99" s="351"/>
      <c r="O99" s="351"/>
      <c r="P99" s="351"/>
      <c r="Q99" s="351"/>
      <c r="R99" s="351"/>
      <c r="S99" s="351"/>
      <c r="T99" s="351"/>
      <c r="U99" s="351"/>
      <c r="V99" s="351"/>
      <c r="W99" s="351"/>
      <c r="X99" s="351"/>
      <c r="Y99" s="351"/>
      <c r="Z99" s="351"/>
      <c r="AA99" s="351"/>
      <c r="AB99" s="351"/>
      <c r="AC99" s="351"/>
      <c r="AD99" s="351"/>
      <c r="AE99" s="351"/>
      <c r="AF99" s="351"/>
      <c r="AG99" s="351"/>
      <c r="AH99" s="351"/>
      <c r="AI99" s="351"/>
      <c r="AJ99" s="351"/>
      <c r="AK99" s="351"/>
      <c r="AL99" s="351"/>
      <c r="AM99" s="351"/>
      <c r="AN99" s="351"/>
      <c r="AO99" s="351"/>
      <c r="AP99" s="351"/>
      <c r="AQ99" s="339">
        <v>9.69</v>
      </c>
      <c r="AR99" s="351"/>
      <c r="AS99" s="351"/>
      <c r="AT99" s="351"/>
      <c r="AU99" s="351"/>
      <c r="AV99" s="351" t="s">
        <v>266</v>
      </c>
      <c r="AW99" s="351" t="s">
        <v>266</v>
      </c>
      <c r="AX99" s="351" t="s">
        <v>345</v>
      </c>
      <c r="AY99" s="260" t="s">
        <v>345</v>
      </c>
      <c r="AZ99" s="181" t="s">
        <v>1181</v>
      </c>
      <c r="BA99" s="351"/>
      <c r="BB99" s="351"/>
      <c r="BC99" s="156" t="s">
        <v>267</v>
      </c>
      <c r="BD99" s="156"/>
      <c r="BE99" s="156"/>
      <c r="BF99" s="156" t="s">
        <v>263</v>
      </c>
      <c r="BG99" s="156"/>
      <c r="BH99" s="351"/>
    </row>
    <row r="100" spans="1:62" ht="42" customHeight="1">
      <c r="A100" s="344">
        <f>SUBTOTAL(3,C$11:$C100)</f>
        <v>57</v>
      </c>
      <c r="B100" s="337" t="s">
        <v>424</v>
      </c>
      <c r="C100" s="338" t="s">
        <v>42</v>
      </c>
      <c r="D100" s="339">
        <v>2.2999999999999998</v>
      </c>
      <c r="E100" s="339">
        <v>0.63</v>
      </c>
      <c r="F100" s="339">
        <v>1.67</v>
      </c>
      <c r="G100" s="414">
        <f t="shared" si="10"/>
        <v>1.67</v>
      </c>
      <c r="H100" s="413" t="s">
        <v>1182</v>
      </c>
      <c r="I100" s="413" t="s">
        <v>56</v>
      </c>
      <c r="J100" s="413" t="s">
        <v>1105</v>
      </c>
      <c r="K100" s="413" t="str">
        <f t="shared" si="11"/>
        <v xml:space="preserve">ONT, </v>
      </c>
      <c r="L100" s="413" t="str">
        <f t="shared" si="12"/>
        <v>ONT:1,67;</v>
      </c>
      <c r="M100" s="339"/>
      <c r="N100" s="339"/>
      <c r="O100" s="339"/>
      <c r="P100" s="339"/>
      <c r="Q100" s="339"/>
      <c r="R100" s="339"/>
      <c r="S100" s="339"/>
      <c r="T100" s="339"/>
      <c r="U100" s="339"/>
      <c r="V100" s="339"/>
      <c r="W100" s="339"/>
      <c r="X100" s="339"/>
      <c r="Y100" s="339"/>
      <c r="Z100" s="339"/>
      <c r="AA100" s="339"/>
      <c r="AB100" s="339"/>
      <c r="AC100" s="339"/>
      <c r="AD100" s="339"/>
      <c r="AE100" s="339"/>
      <c r="AF100" s="339"/>
      <c r="AG100" s="339"/>
      <c r="AH100" s="339"/>
      <c r="AI100" s="339"/>
      <c r="AJ100" s="339"/>
      <c r="AK100" s="339"/>
      <c r="AL100" s="339">
        <v>1.67</v>
      </c>
      <c r="AM100" s="339"/>
      <c r="AN100" s="339"/>
      <c r="AO100" s="339"/>
      <c r="AP100" s="339"/>
      <c r="AQ100" s="339"/>
      <c r="AR100" s="339"/>
      <c r="AS100" s="339"/>
      <c r="AT100" s="339"/>
      <c r="AU100" s="339"/>
      <c r="AV100" s="338" t="s">
        <v>266</v>
      </c>
      <c r="AW100" s="338" t="s">
        <v>266</v>
      </c>
      <c r="AX100" s="351" t="s">
        <v>332</v>
      </c>
      <c r="AY100" s="260" t="s">
        <v>332</v>
      </c>
      <c r="AZ100" s="181" t="s">
        <v>1183</v>
      </c>
      <c r="BA100" s="351"/>
      <c r="BB100" s="351"/>
      <c r="BC100" s="156" t="s">
        <v>316</v>
      </c>
      <c r="BD100" s="156"/>
      <c r="BE100" s="156"/>
      <c r="BF100" s="156" t="s">
        <v>263</v>
      </c>
      <c r="BG100" s="156"/>
      <c r="BH100" s="351"/>
    </row>
    <row r="101" spans="1:62" ht="39" customHeight="1">
      <c r="A101" s="344">
        <f>SUBTOTAL(3,C$11:$C101)</f>
        <v>58</v>
      </c>
      <c r="B101" s="362" t="s">
        <v>1744</v>
      </c>
      <c r="C101" s="351" t="s">
        <v>42</v>
      </c>
      <c r="D101" s="351">
        <v>0.41</v>
      </c>
      <c r="E101" s="351"/>
      <c r="F101" s="351">
        <v>0.41</v>
      </c>
      <c r="G101" s="351">
        <v>0.41</v>
      </c>
      <c r="H101" s="413" t="s">
        <v>5</v>
      </c>
      <c r="I101" s="413" t="s">
        <v>8</v>
      </c>
      <c r="J101" s="413"/>
      <c r="K101" s="413"/>
      <c r="L101" s="413"/>
      <c r="M101" s="351"/>
      <c r="N101" s="351"/>
      <c r="O101" s="351"/>
      <c r="P101" s="351"/>
      <c r="Q101" s="351"/>
      <c r="R101" s="351"/>
      <c r="S101" s="351"/>
      <c r="T101" s="351"/>
      <c r="U101" s="351"/>
      <c r="V101" s="351"/>
      <c r="W101" s="351"/>
      <c r="X101" s="351"/>
      <c r="Y101" s="351"/>
      <c r="Z101" s="351"/>
      <c r="AA101" s="351"/>
      <c r="AB101" s="351"/>
      <c r="AC101" s="351"/>
      <c r="AD101" s="351"/>
      <c r="AE101" s="351"/>
      <c r="AF101" s="351"/>
      <c r="AG101" s="351"/>
      <c r="AH101" s="351"/>
      <c r="AI101" s="351"/>
      <c r="AJ101" s="351"/>
      <c r="AK101" s="351"/>
      <c r="AL101" s="351"/>
      <c r="AM101" s="351"/>
      <c r="AN101" s="351"/>
      <c r="AO101" s="351"/>
      <c r="AP101" s="351"/>
      <c r="AQ101" s="351"/>
      <c r="AR101" s="351"/>
      <c r="AS101" s="351"/>
      <c r="AT101" s="351"/>
      <c r="AU101" s="351"/>
      <c r="AV101" s="351" t="s">
        <v>266</v>
      </c>
      <c r="AW101" s="351" t="s">
        <v>266</v>
      </c>
      <c r="AX101" s="351" t="s">
        <v>1188</v>
      </c>
      <c r="AY101" s="260" t="s">
        <v>1188</v>
      </c>
      <c r="AZ101" s="181" t="s">
        <v>1189</v>
      </c>
      <c r="BA101" s="351"/>
      <c r="BB101" s="351"/>
      <c r="BC101" s="156"/>
      <c r="BD101" s="156"/>
      <c r="BE101" s="156"/>
      <c r="BF101" s="156"/>
      <c r="BG101" s="156"/>
      <c r="BH101" s="351"/>
    </row>
    <row r="102" spans="1:62" ht="39" customHeight="1">
      <c r="A102" s="344">
        <f>SUBTOTAL(3,C$11:$C102)</f>
        <v>59</v>
      </c>
      <c r="B102" s="362" t="s">
        <v>1190</v>
      </c>
      <c r="C102" s="351" t="s">
        <v>42</v>
      </c>
      <c r="D102" s="351">
        <v>1</v>
      </c>
      <c r="E102" s="351"/>
      <c r="F102" s="351">
        <v>1</v>
      </c>
      <c r="G102" s="351">
        <v>1</v>
      </c>
      <c r="H102" s="413" t="s">
        <v>5</v>
      </c>
      <c r="I102" s="413" t="s">
        <v>7</v>
      </c>
      <c r="J102" s="413"/>
      <c r="K102" s="413"/>
      <c r="L102" s="413"/>
      <c r="M102" s="351"/>
      <c r="N102" s="351"/>
      <c r="O102" s="351"/>
      <c r="P102" s="351"/>
      <c r="Q102" s="351"/>
      <c r="R102" s="351"/>
      <c r="S102" s="351"/>
      <c r="T102" s="351"/>
      <c r="U102" s="351"/>
      <c r="V102" s="351"/>
      <c r="W102" s="351"/>
      <c r="X102" s="351"/>
      <c r="Y102" s="351"/>
      <c r="Z102" s="351"/>
      <c r="AA102" s="351"/>
      <c r="AB102" s="351"/>
      <c r="AC102" s="351"/>
      <c r="AD102" s="351"/>
      <c r="AE102" s="351"/>
      <c r="AF102" s="351"/>
      <c r="AG102" s="351"/>
      <c r="AH102" s="351"/>
      <c r="AI102" s="351"/>
      <c r="AJ102" s="351"/>
      <c r="AK102" s="351"/>
      <c r="AL102" s="351"/>
      <c r="AM102" s="351"/>
      <c r="AN102" s="351"/>
      <c r="AO102" s="351"/>
      <c r="AP102" s="351"/>
      <c r="AQ102" s="351"/>
      <c r="AR102" s="351"/>
      <c r="AS102" s="351"/>
      <c r="AT102" s="351"/>
      <c r="AU102" s="351"/>
      <c r="AV102" s="351" t="s">
        <v>309</v>
      </c>
      <c r="AW102" s="351" t="s">
        <v>309</v>
      </c>
      <c r="AX102" s="351" t="s">
        <v>1191</v>
      </c>
      <c r="AY102" s="260" t="s">
        <v>1191</v>
      </c>
      <c r="AZ102" s="181" t="s">
        <v>1189</v>
      </c>
      <c r="BA102" s="351"/>
      <c r="BB102" s="351"/>
      <c r="BC102" s="156"/>
      <c r="BD102" s="156"/>
      <c r="BE102" s="156"/>
      <c r="BF102" s="156"/>
      <c r="BG102" s="156"/>
      <c r="BH102" s="351"/>
    </row>
    <row r="103" spans="1:62" ht="39" customHeight="1">
      <c r="A103" s="344">
        <f>SUBTOTAL(3,C$11:$C103)</f>
        <v>60</v>
      </c>
      <c r="B103" s="362" t="s">
        <v>1192</v>
      </c>
      <c r="C103" s="351" t="s">
        <v>42</v>
      </c>
      <c r="D103" s="351">
        <v>0.26</v>
      </c>
      <c r="E103" s="351"/>
      <c r="F103" s="351">
        <v>0.26</v>
      </c>
      <c r="G103" s="351">
        <v>0.26</v>
      </c>
      <c r="H103" s="413" t="s">
        <v>1089</v>
      </c>
      <c r="I103" s="413" t="s">
        <v>1193</v>
      </c>
      <c r="J103" s="413"/>
      <c r="K103" s="413"/>
      <c r="L103" s="413"/>
      <c r="M103" s="351"/>
      <c r="N103" s="351"/>
      <c r="O103" s="351"/>
      <c r="P103" s="351"/>
      <c r="Q103" s="351"/>
      <c r="R103" s="351"/>
      <c r="S103" s="351"/>
      <c r="T103" s="351"/>
      <c r="U103" s="351"/>
      <c r="V103" s="351"/>
      <c r="W103" s="351"/>
      <c r="X103" s="351"/>
      <c r="Y103" s="351"/>
      <c r="Z103" s="351"/>
      <c r="AA103" s="351"/>
      <c r="AB103" s="351"/>
      <c r="AC103" s="351"/>
      <c r="AD103" s="351"/>
      <c r="AE103" s="351"/>
      <c r="AF103" s="351"/>
      <c r="AG103" s="351"/>
      <c r="AH103" s="351"/>
      <c r="AI103" s="351"/>
      <c r="AJ103" s="351"/>
      <c r="AK103" s="351"/>
      <c r="AL103" s="351"/>
      <c r="AM103" s="351"/>
      <c r="AN103" s="351"/>
      <c r="AO103" s="351"/>
      <c r="AP103" s="351"/>
      <c r="AQ103" s="351"/>
      <c r="AR103" s="351"/>
      <c r="AS103" s="351"/>
      <c r="AT103" s="351"/>
      <c r="AU103" s="351"/>
      <c r="AV103" s="351" t="s">
        <v>258</v>
      </c>
      <c r="AW103" s="351" t="s">
        <v>258</v>
      </c>
      <c r="AX103" s="351"/>
      <c r="AY103" s="260"/>
      <c r="AZ103" s="181" t="s">
        <v>1194</v>
      </c>
      <c r="BA103" s="351"/>
      <c r="BB103" s="351"/>
      <c r="BC103" s="156"/>
      <c r="BD103" s="156"/>
      <c r="BE103" s="156"/>
      <c r="BF103" s="156"/>
      <c r="BG103" s="156"/>
      <c r="BH103" s="351"/>
    </row>
    <row r="104" spans="1:62" s="183" customFormat="1" ht="29.25" customHeight="1">
      <c r="A104" s="167"/>
      <c r="B104" s="168" t="s">
        <v>1758</v>
      </c>
      <c r="C104" s="164"/>
      <c r="D104" s="169"/>
      <c r="E104" s="169"/>
      <c r="F104" s="169"/>
      <c r="G104" s="441"/>
      <c r="H104" s="442"/>
      <c r="I104" s="442"/>
      <c r="J104" s="442"/>
      <c r="K104" s="442"/>
      <c r="L104" s="442"/>
      <c r="M104" s="169"/>
      <c r="N104" s="169"/>
      <c r="O104" s="169"/>
      <c r="P104" s="169"/>
      <c r="Q104" s="169"/>
      <c r="R104" s="169"/>
      <c r="S104" s="169"/>
      <c r="T104" s="169"/>
      <c r="U104" s="169"/>
      <c r="V104" s="169"/>
      <c r="W104" s="169"/>
      <c r="X104" s="169"/>
      <c r="Y104" s="169"/>
      <c r="Z104" s="169"/>
      <c r="AA104" s="169"/>
      <c r="AB104" s="169"/>
      <c r="AC104" s="169"/>
      <c r="AD104" s="169"/>
      <c r="AE104" s="169"/>
      <c r="AF104" s="169"/>
      <c r="AG104" s="169"/>
      <c r="AH104" s="169"/>
      <c r="AI104" s="169"/>
      <c r="AJ104" s="169"/>
      <c r="AK104" s="169"/>
      <c r="AL104" s="169"/>
      <c r="AM104" s="169"/>
      <c r="AN104" s="169"/>
      <c r="AO104" s="169"/>
      <c r="AP104" s="169"/>
      <c r="AQ104" s="169"/>
      <c r="AR104" s="169"/>
      <c r="AS104" s="169"/>
      <c r="AT104" s="169"/>
      <c r="AU104" s="169"/>
      <c r="AV104" s="169"/>
      <c r="AW104" s="169"/>
      <c r="AX104" s="169"/>
      <c r="AY104" s="263"/>
      <c r="AZ104" s="165"/>
      <c r="BA104" s="169"/>
      <c r="BB104" s="169"/>
      <c r="BC104" s="165"/>
      <c r="BD104" s="165"/>
      <c r="BE104" s="165"/>
      <c r="BF104" s="165"/>
      <c r="BG104" s="165"/>
      <c r="BH104" s="169"/>
      <c r="BI104" s="412"/>
      <c r="BJ104" s="443"/>
    </row>
    <row r="105" spans="1:62" ht="42" customHeight="1">
      <c r="A105" s="344">
        <f>SUBTOTAL(3,C$11:$C105)</f>
        <v>61</v>
      </c>
      <c r="B105" s="363" t="s">
        <v>430</v>
      </c>
      <c r="C105" s="338" t="s">
        <v>42</v>
      </c>
      <c r="D105" s="339">
        <v>6.9999999999999993E-2</v>
      </c>
      <c r="E105" s="339"/>
      <c r="F105" s="339">
        <v>6.9999999999999993E-2</v>
      </c>
      <c r="G105" s="414">
        <f t="shared" ref="G105:G125" si="13">SUM(M105:AR105)</f>
        <v>6.9999999999999993E-2</v>
      </c>
      <c r="H105" s="413" t="s">
        <v>1117</v>
      </c>
      <c r="I105" s="413" t="s">
        <v>1118</v>
      </c>
      <c r="J105" s="413"/>
      <c r="K105" s="413" t="str">
        <f t="shared" ref="K105:K150" si="14">IF(M105&lt;&gt;0,$M$5&amp;", ","")&amp;IF(N105&lt;&gt;0,$N$5&amp;", ","")&amp;IF(O105&lt;&gt;0,O$5&amp;", ","")&amp;IF(P105&lt;&gt;0,P$5&amp;", ","")&amp;IF(Q105&lt;&gt;0,Q$5&amp;", ","")&amp;IF(R105&lt;&gt;0,R$5&amp;", ","")&amp;IF(S105&lt;&gt;0,S$5&amp;", ","")&amp;IF(T105&lt;&gt;0,T$5&amp;", ","")&amp;IF(U105&lt;&gt;0,U$5&amp;", ","")&amp;IF(V105&lt;&gt;0,V$5&amp;", ","")&amp;IF(W105&lt;&gt;0,W$5&amp;", ","")&amp;IF(X105&lt;&gt;0,X$5&amp;", ","")&amp;IF(Y105&lt;&gt;0,Y$5&amp;", ","")&amp;IF(Z105&lt;&gt;0,Z$5&amp;", ","")&amp;IF(AA105&lt;&gt;0,AA$5&amp;", ","")&amp;IF(AB105&lt;&gt;0,AB$5&amp;", ","")&amp;IF(AC105&lt;&gt;0,AC$5&amp;", ","")&amp;IF(AD105&lt;&gt;0,AD$5&amp;", ","")&amp;IF(AE105&lt;&gt;0,AE$5&amp;", ","")&amp;IF(AF105&lt;&gt;0,AF$5&amp;", ","")&amp;IF(AG105&lt;&gt;0,AG$5&amp;", ","")&amp;IF(AH105&lt;&gt;0,AH$5&amp;", ","")&amp;IF(AI105&lt;&gt;0,AI$5&amp;", ","")&amp;IF(AJ105&lt;&gt;0,AJ$5&amp;", ","")&amp;IF(AK105&lt;&gt;0,AK$5&amp;", ","")&amp;IF(AL105&lt;&gt;0,AL$5&amp;", ","")&amp;IF(AM105&lt;&gt;0,AM$5&amp;", ","")&amp;IF(AN105&lt;&gt;0,AN$5&amp;", ","")&amp;IF(AO105&lt;&gt;0,AO$5&amp;", ","")&amp;IF(AP105&lt;&gt;0,AP$5&amp;", ","")&amp;IF(AQ105&lt;&gt;0,AQ$5&amp;", ","")&amp;IF(AR105&lt;&gt;0,AR$5,"")&amp;IF(AS105&lt;&gt;0,AS$5,"")&amp;IF(AT105&lt;&gt;0,AT$5,"")&amp;IF(AU105&lt;&gt;0,AU$5,"")</f>
        <v xml:space="preserve">LUC, HNK, ONT, </v>
      </c>
      <c r="L105" s="413" t="str">
        <f t="shared" ref="L105:L150" si="15">IF(M105="","",$M$5&amp;":"&amp;M105&amp;";")&amp;IF(N105="","",$N$5&amp;":"&amp;N105&amp;";")&amp;IF(O105="","",$O$5&amp;":"&amp;O105&amp;";")&amp;IF(P105="","",$P$5&amp;":"&amp;P105&amp;";")&amp;IF(Q105="","",$Q$5&amp;":"&amp;Q105&amp;";")&amp;IF(R105="","",$R$5&amp;":"&amp;R105&amp;";")&amp;IF(S105="","",$S$5&amp;":"&amp;S105&amp;";")&amp;IF(T105="","",$T$5&amp;":"&amp;T105&amp;";")&amp;IF(U105="","",$U$5&amp;":"&amp;U105&amp;";")&amp;IF(V105="","",$V$5&amp;":"&amp;V105&amp;";")&amp;IF(W105="","",$W$5&amp;":"&amp;W105&amp;";")&amp;IF(X105="","",$X$5&amp;":"&amp;X105&amp;";")&amp;IF(Y105="","",$Y$5&amp;":"&amp;Y105&amp;";")&amp;IF(Z105="","",$Z$5&amp;":"&amp;Z105&amp;";")&amp;IF(AA105="","",$AA$5&amp;":"&amp;AA105&amp;";")&amp;IF(AB105="","",$AB$5&amp;":"&amp;AB105&amp;";")&amp;IF(AC105="","",$AC$5&amp;":"&amp;AC105&amp;";")&amp;IF(AD105="","",$AD$5&amp;":"&amp;AD105&amp;";")&amp;IF(AE105="","",$AE$5&amp;":"&amp;AE105&amp;";")&amp;IF(AF105="","",$AF$5&amp;":"&amp;AF105&amp;";")&amp;IF(AG105="","",$AG$5&amp;":"&amp;AG105&amp;";")&amp;IF(AH105="","",$AH$5&amp;":"&amp;AH105&amp;";")&amp;IF(AI105="","",$AI$5&amp;":"&amp;AI105&amp;";")&amp;IF(AJ105="","",$AJ$5&amp;":"&amp;AJ105&amp;";")&amp;IF(AK105="","",$AK$5&amp;":"&amp;AK105&amp;";")&amp;IF(AL105="","",$AL$5&amp;":"&amp;AL105&amp;";")&amp;IF(AM105="","",$AM$5&amp;":"&amp;AM105&amp;";")&amp;IF(AN105="","",$AN$5&amp;":"&amp;AN105&amp;";")&amp;IF(AO105="","",$AO$5&amp;":"&amp;AO105&amp;";")&amp;IF(AP105="","",$AP$5&amp;":"&amp;AP105&amp;";")&amp;IF(AQ105="","",$AQ$5&amp;":"&amp;AQ105&amp;";")&amp;IF(AR105="","",$AR$5&amp;":"&amp;AR105&amp;";")&amp;IF(AS105="","",$AS$5&amp;":"&amp;AS105&amp;";")&amp;IF(AT105="","",$AT$5&amp;":"&amp;AT105&amp;";")&amp;IF(AU105="","",$AU$5&amp;":"&amp;AU105&amp;";")</f>
        <v>LUC:0,02;HNK:0,04;ONT:0,01;</v>
      </c>
      <c r="M105" s="339">
        <v>0.02</v>
      </c>
      <c r="N105" s="339"/>
      <c r="O105" s="339">
        <v>0.04</v>
      </c>
      <c r="P105" s="339"/>
      <c r="Q105" s="339"/>
      <c r="R105" s="339"/>
      <c r="S105" s="339"/>
      <c r="T105" s="339"/>
      <c r="U105" s="339"/>
      <c r="V105" s="339"/>
      <c r="W105" s="339"/>
      <c r="X105" s="339"/>
      <c r="Y105" s="339"/>
      <c r="Z105" s="339"/>
      <c r="AA105" s="339"/>
      <c r="AB105" s="339"/>
      <c r="AC105" s="339"/>
      <c r="AD105" s="339"/>
      <c r="AE105" s="339"/>
      <c r="AF105" s="339"/>
      <c r="AG105" s="339"/>
      <c r="AH105" s="339"/>
      <c r="AI105" s="339"/>
      <c r="AJ105" s="339"/>
      <c r="AK105" s="339"/>
      <c r="AL105" s="339">
        <v>0.01</v>
      </c>
      <c r="AM105" s="339"/>
      <c r="AN105" s="339"/>
      <c r="AO105" s="339"/>
      <c r="AP105" s="339"/>
      <c r="AQ105" s="339"/>
      <c r="AR105" s="339"/>
      <c r="AS105" s="339"/>
      <c r="AT105" s="339"/>
      <c r="AU105" s="339"/>
      <c r="AV105" s="338" t="s">
        <v>289</v>
      </c>
      <c r="AW105" s="338" t="s">
        <v>289</v>
      </c>
      <c r="AX105" s="350" t="s">
        <v>431</v>
      </c>
      <c r="AY105" s="356" t="s">
        <v>431</v>
      </c>
      <c r="AZ105" s="352" t="s">
        <v>1195</v>
      </c>
      <c r="BA105" s="350" t="s">
        <v>357</v>
      </c>
      <c r="BB105" s="350"/>
      <c r="BC105" s="184" t="s">
        <v>358</v>
      </c>
      <c r="BD105" s="184"/>
      <c r="BE105" s="184"/>
      <c r="BF105" s="184"/>
      <c r="BG105" s="184"/>
      <c r="BH105" s="350"/>
    </row>
    <row r="106" spans="1:62" ht="42" customHeight="1">
      <c r="A106" s="344">
        <f>SUBTOTAL(3,C$11:$C106)</f>
        <v>62</v>
      </c>
      <c r="B106" s="166" t="s">
        <v>433</v>
      </c>
      <c r="C106" s="338" t="s">
        <v>42</v>
      </c>
      <c r="D106" s="339">
        <v>0.37</v>
      </c>
      <c r="E106" s="351"/>
      <c r="F106" s="339">
        <v>0.37</v>
      </c>
      <c r="G106" s="414">
        <f>SUM(M106:AR106)</f>
        <v>0.374</v>
      </c>
      <c r="H106" s="413" t="s">
        <v>1120</v>
      </c>
      <c r="I106" s="413" t="s">
        <v>1120</v>
      </c>
      <c r="J106" s="413"/>
      <c r="K106" s="413" t="str">
        <f t="shared" si="14"/>
        <v xml:space="preserve">HNK, CLN, </v>
      </c>
      <c r="L106" s="413" t="str">
        <f>IF(M106="","",$M$5&amp;":"&amp;M106&amp;";")&amp;IF(N106="","",$N$5&amp;":"&amp;N106&amp;";")&amp;IF(O106="","",$O$5&amp;":"&amp;O106&amp;";")&amp;IF(P106="","",$P$5&amp;":"&amp;P106&amp;";")&amp;IF(Q106="","",$Q$5&amp;":"&amp;Q106&amp;";")&amp;IF(R106="","",$R$5&amp;":"&amp;R106&amp;";")&amp;IF(S106="","",$S$5&amp;":"&amp;S106&amp;";")&amp;IF(T106="","",$T$5&amp;":"&amp;T106&amp;";")&amp;IF(U106="","",$U$5&amp;":"&amp;U106&amp;";")&amp;IF(V106="","",$V$5&amp;":"&amp;V106&amp;";")&amp;IF(W106="","",$W$5&amp;":"&amp;W106&amp;";")&amp;IF(X106="","",$X$5&amp;":"&amp;X106&amp;";")&amp;IF(Y106="","",$Y$5&amp;":"&amp;Y106&amp;";")&amp;IF(Z106="","",$Z$5&amp;":"&amp;Z106&amp;";")&amp;IF(AA106="","",$AA$5&amp;":"&amp;AA106&amp;";")&amp;IF(AB106="","",$AB$5&amp;":"&amp;AB106&amp;";")&amp;IF(AC106="","",$AC$5&amp;":"&amp;AC106&amp;";")&amp;IF(AD106="","",$AD$5&amp;":"&amp;AD106&amp;";")&amp;IF(AE106="","",$AE$5&amp;":"&amp;AE106&amp;";")&amp;IF(AF106="","",$AF$5&amp;":"&amp;AF106&amp;";")&amp;IF(AG106="","",$AG$5&amp;":"&amp;AG106&amp;";")&amp;IF(AH106="","",$AH$5&amp;":"&amp;AH106&amp;";")&amp;IF(AI106="","",$AI$5&amp;":"&amp;AI106&amp;";")&amp;IF(AJ106="","",$AJ$5&amp;":"&amp;AJ106&amp;";")&amp;IF(AK106="","",$AK$5&amp;":"&amp;AK106&amp;";")&amp;IF(AL106="","",$AL$5&amp;":"&amp;AL106&amp;";")&amp;IF(AM106="","",$AM$5&amp;":"&amp;AM106&amp;";")&amp;IF(AN106="","",$AN$5&amp;":"&amp;AN106&amp;";")&amp;IF(AO106="","",$AO$5&amp;":"&amp;AO106&amp;";")&amp;IF(AP106="","",$AP$5&amp;":"&amp;AP106&amp;";")&amp;IF(AQ106="","",$AQ$5&amp;":"&amp;AQ106&amp;";")&amp;IF(AR106="","",$AR$5&amp;":"&amp;AR106&amp;";")&amp;IF(AS106="","",$AS$5&amp;":"&amp;AS106&amp;";")&amp;IF(AT106="","",$AT$5&amp;":"&amp;AT106&amp;";")&amp;IF(AU106="","",$AU$5&amp;":"&amp;AU106&amp;";")</f>
        <v>HNK:0,104;CLN:0,27;</v>
      </c>
      <c r="M106" s="351"/>
      <c r="N106" s="351"/>
      <c r="O106" s="351">
        <v>0.104</v>
      </c>
      <c r="P106" s="351">
        <v>0.27</v>
      </c>
      <c r="Q106" s="351"/>
      <c r="R106" s="351"/>
      <c r="S106" s="351"/>
      <c r="T106" s="351"/>
      <c r="U106" s="351"/>
      <c r="V106" s="351"/>
      <c r="W106" s="351"/>
      <c r="X106" s="351"/>
      <c r="Y106" s="351"/>
      <c r="Z106" s="351"/>
      <c r="AA106" s="351"/>
      <c r="AB106" s="351"/>
      <c r="AC106" s="351"/>
      <c r="AD106" s="351"/>
      <c r="AE106" s="351"/>
      <c r="AF106" s="351"/>
      <c r="AG106" s="351"/>
      <c r="AH106" s="351"/>
      <c r="AI106" s="351"/>
      <c r="AJ106" s="351"/>
      <c r="AK106" s="351"/>
      <c r="AL106" s="351"/>
      <c r="AM106" s="351"/>
      <c r="AN106" s="351"/>
      <c r="AO106" s="351"/>
      <c r="AP106" s="351"/>
      <c r="AQ106" s="351"/>
      <c r="AR106" s="351"/>
      <c r="AS106" s="351"/>
      <c r="AT106" s="351"/>
      <c r="AU106" s="351"/>
      <c r="AV106" s="338" t="s">
        <v>277</v>
      </c>
      <c r="AW106" s="338" t="s">
        <v>277</v>
      </c>
      <c r="AX106" s="351" t="s">
        <v>319</v>
      </c>
      <c r="AY106" s="260" t="s">
        <v>319</v>
      </c>
      <c r="AZ106" s="181" t="s">
        <v>1199</v>
      </c>
      <c r="BA106" s="350" t="s">
        <v>357</v>
      </c>
      <c r="BB106" s="351"/>
      <c r="BC106" s="156" t="s">
        <v>358</v>
      </c>
      <c r="BD106" s="156"/>
      <c r="BE106" s="156"/>
      <c r="BF106" s="156"/>
      <c r="BG106" s="156"/>
      <c r="BH106" s="351"/>
    </row>
    <row r="107" spans="1:62" ht="42" customHeight="1">
      <c r="A107" s="344">
        <f>SUBTOTAL(3,C$11:$C107)</f>
        <v>63</v>
      </c>
      <c r="B107" s="337" t="s">
        <v>432</v>
      </c>
      <c r="C107" s="338" t="s">
        <v>42</v>
      </c>
      <c r="D107" s="339">
        <v>0.35</v>
      </c>
      <c r="E107" s="339"/>
      <c r="F107" s="339">
        <v>0.35</v>
      </c>
      <c r="G107" s="414">
        <f t="shared" si="13"/>
        <v>0.35</v>
      </c>
      <c r="H107" s="413" t="s">
        <v>1196</v>
      </c>
      <c r="I107" s="413" t="s">
        <v>968</v>
      </c>
      <c r="J107" s="413"/>
      <c r="K107" s="413" t="str">
        <f t="shared" si="14"/>
        <v xml:space="preserve">LUC, HNK, CLN, </v>
      </c>
      <c r="L107" s="413" t="str">
        <f t="shared" si="15"/>
        <v>LUC:0,1;HNK:0,15;CLN:0,1;</v>
      </c>
      <c r="M107" s="339">
        <v>0.1</v>
      </c>
      <c r="N107" s="339"/>
      <c r="O107" s="339">
        <v>0.15</v>
      </c>
      <c r="P107" s="339">
        <v>0.1</v>
      </c>
      <c r="Q107" s="339"/>
      <c r="R107" s="339"/>
      <c r="S107" s="339"/>
      <c r="T107" s="339"/>
      <c r="U107" s="339"/>
      <c r="V107" s="339"/>
      <c r="W107" s="339"/>
      <c r="X107" s="339"/>
      <c r="Y107" s="339"/>
      <c r="Z107" s="339"/>
      <c r="AA107" s="339"/>
      <c r="AB107" s="339"/>
      <c r="AC107" s="339"/>
      <c r="AD107" s="339"/>
      <c r="AE107" s="339"/>
      <c r="AF107" s="339"/>
      <c r="AG107" s="339"/>
      <c r="AH107" s="339"/>
      <c r="AI107" s="339"/>
      <c r="AJ107" s="339"/>
      <c r="AK107" s="339"/>
      <c r="AL107" s="339"/>
      <c r="AM107" s="339"/>
      <c r="AN107" s="339"/>
      <c r="AO107" s="339"/>
      <c r="AP107" s="339"/>
      <c r="AQ107" s="339"/>
      <c r="AR107" s="339"/>
      <c r="AS107" s="339"/>
      <c r="AT107" s="339"/>
      <c r="AU107" s="339"/>
      <c r="AV107" s="338" t="s">
        <v>370</v>
      </c>
      <c r="AW107" s="338" t="s">
        <v>370</v>
      </c>
      <c r="AX107" s="350" t="s">
        <v>1197</v>
      </c>
      <c r="AY107" s="356" t="s">
        <v>1197</v>
      </c>
      <c r="AZ107" s="352" t="s">
        <v>1198</v>
      </c>
      <c r="BA107" s="350" t="s">
        <v>357</v>
      </c>
      <c r="BB107" s="350"/>
      <c r="BC107" s="184" t="s">
        <v>358</v>
      </c>
      <c r="BD107" s="184"/>
      <c r="BE107" s="184"/>
      <c r="BF107" s="184"/>
      <c r="BG107" s="184"/>
      <c r="BH107" s="350"/>
    </row>
    <row r="108" spans="1:62" ht="42" customHeight="1">
      <c r="A108" s="344">
        <f>SUBTOTAL(3,C$11:$C108)</f>
        <v>64</v>
      </c>
      <c r="B108" s="166" t="s">
        <v>434</v>
      </c>
      <c r="C108" s="338" t="s">
        <v>42</v>
      </c>
      <c r="D108" s="339">
        <v>0.105</v>
      </c>
      <c r="E108" s="339">
        <v>0.02</v>
      </c>
      <c r="F108" s="339">
        <v>0.09</v>
      </c>
      <c r="G108" s="414">
        <f t="shared" si="13"/>
        <v>9.0000000000000011E-2</v>
      </c>
      <c r="H108" s="413" t="s">
        <v>1135</v>
      </c>
      <c r="I108" s="413" t="s">
        <v>1136</v>
      </c>
      <c r="J108" s="413"/>
      <c r="K108" s="413" t="str">
        <f t="shared" si="14"/>
        <v xml:space="preserve">LUC, ONT, </v>
      </c>
      <c r="L108" s="413" t="str">
        <f t="shared" si="15"/>
        <v>LUC:0,07;ONT:0,02;</v>
      </c>
      <c r="M108" s="351">
        <v>7.0000000000000007E-2</v>
      </c>
      <c r="N108" s="351"/>
      <c r="O108" s="351"/>
      <c r="P108" s="351"/>
      <c r="Q108" s="351"/>
      <c r="R108" s="351"/>
      <c r="S108" s="351"/>
      <c r="T108" s="351"/>
      <c r="U108" s="351"/>
      <c r="V108" s="351"/>
      <c r="W108" s="351"/>
      <c r="X108" s="351"/>
      <c r="Y108" s="351"/>
      <c r="Z108" s="351"/>
      <c r="AA108" s="351"/>
      <c r="AB108" s="351"/>
      <c r="AC108" s="351"/>
      <c r="AD108" s="351"/>
      <c r="AE108" s="351"/>
      <c r="AF108" s="351"/>
      <c r="AG108" s="351"/>
      <c r="AH108" s="351"/>
      <c r="AI108" s="351"/>
      <c r="AJ108" s="351"/>
      <c r="AK108" s="351"/>
      <c r="AL108" s="351">
        <v>0.02</v>
      </c>
      <c r="AM108" s="351"/>
      <c r="AN108" s="351"/>
      <c r="AO108" s="351"/>
      <c r="AP108" s="351"/>
      <c r="AQ108" s="351"/>
      <c r="AR108" s="351"/>
      <c r="AS108" s="351"/>
      <c r="AT108" s="351"/>
      <c r="AU108" s="351"/>
      <c r="AV108" s="338" t="s">
        <v>306</v>
      </c>
      <c r="AW108" s="338" t="s">
        <v>306</v>
      </c>
      <c r="AX108" s="351" t="s">
        <v>435</v>
      </c>
      <c r="AY108" s="260" t="s">
        <v>435</v>
      </c>
      <c r="AZ108" s="181" t="s">
        <v>1200</v>
      </c>
      <c r="BA108" s="350" t="s">
        <v>357</v>
      </c>
      <c r="BB108" s="351"/>
      <c r="BC108" s="156"/>
      <c r="BD108" s="156"/>
      <c r="BE108" s="156"/>
      <c r="BF108" s="156"/>
      <c r="BG108" s="156"/>
      <c r="BH108" s="351"/>
    </row>
    <row r="109" spans="1:62" ht="42" customHeight="1">
      <c r="A109" s="344">
        <f>SUBTOTAL(3,C$11:$C109)</f>
        <v>65</v>
      </c>
      <c r="B109" s="166" t="s">
        <v>436</v>
      </c>
      <c r="C109" s="338" t="s">
        <v>42</v>
      </c>
      <c r="D109" s="339">
        <v>0.4</v>
      </c>
      <c r="E109" s="339"/>
      <c r="F109" s="339">
        <v>0.4</v>
      </c>
      <c r="G109" s="414">
        <f t="shared" si="13"/>
        <v>0.4</v>
      </c>
      <c r="H109" s="413" t="s">
        <v>1201</v>
      </c>
      <c r="I109" s="413" t="s">
        <v>1202</v>
      </c>
      <c r="J109" s="413"/>
      <c r="K109" s="413" t="str">
        <f t="shared" si="14"/>
        <v xml:space="preserve">LUC, HNK, NTS, TON, ONT, </v>
      </c>
      <c r="L109" s="413" t="str">
        <f t="shared" si="15"/>
        <v>LUC:0,28;HNK:0,05;NTS:0,02;TON:0,02;ONT:0,03;</v>
      </c>
      <c r="M109" s="351">
        <v>0.28000000000000003</v>
      </c>
      <c r="N109" s="351"/>
      <c r="O109" s="351">
        <v>0.05</v>
      </c>
      <c r="P109" s="351"/>
      <c r="Q109" s="351">
        <v>0.02</v>
      </c>
      <c r="R109" s="351"/>
      <c r="S109" s="351"/>
      <c r="T109" s="351"/>
      <c r="U109" s="351"/>
      <c r="V109" s="351"/>
      <c r="W109" s="351"/>
      <c r="X109" s="351"/>
      <c r="Y109" s="351"/>
      <c r="Z109" s="351"/>
      <c r="AA109" s="351"/>
      <c r="AB109" s="351"/>
      <c r="AC109" s="351"/>
      <c r="AD109" s="351"/>
      <c r="AE109" s="351"/>
      <c r="AF109" s="351"/>
      <c r="AG109" s="351">
        <v>0.02</v>
      </c>
      <c r="AH109" s="351"/>
      <c r="AI109" s="351"/>
      <c r="AJ109" s="351"/>
      <c r="AK109" s="351"/>
      <c r="AL109" s="351">
        <v>0.03</v>
      </c>
      <c r="AM109" s="351"/>
      <c r="AN109" s="351"/>
      <c r="AO109" s="351"/>
      <c r="AP109" s="351"/>
      <c r="AQ109" s="351"/>
      <c r="AR109" s="351"/>
      <c r="AS109" s="351"/>
      <c r="AT109" s="351"/>
      <c r="AU109" s="351"/>
      <c r="AV109" s="338" t="s">
        <v>306</v>
      </c>
      <c r="AW109" s="338" t="s">
        <v>306</v>
      </c>
      <c r="AX109" s="351" t="s">
        <v>437</v>
      </c>
      <c r="AY109" s="260" t="s">
        <v>437</v>
      </c>
      <c r="AZ109" s="181"/>
      <c r="BA109" s="350" t="s">
        <v>357</v>
      </c>
      <c r="BB109" s="351"/>
      <c r="BC109" s="156"/>
      <c r="BD109" s="156"/>
      <c r="BE109" s="156"/>
      <c r="BF109" s="156"/>
      <c r="BG109" s="156"/>
      <c r="BH109" s="351"/>
    </row>
    <row r="110" spans="1:62" ht="42" customHeight="1">
      <c r="A110" s="344">
        <f>SUBTOTAL(3,C$11:$C110)</f>
        <v>66</v>
      </c>
      <c r="B110" s="166" t="s">
        <v>438</v>
      </c>
      <c r="C110" s="338" t="s">
        <v>42</v>
      </c>
      <c r="D110" s="339">
        <v>7.0000000000000007E-2</v>
      </c>
      <c r="E110" s="339"/>
      <c r="F110" s="339">
        <v>7.0000000000000007E-2</v>
      </c>
      <c r="G110" s="414">
        <f t="shared" si="13"/>
        <v>6.9999999999999993E-2</v>
      </c>
      <c r="H110" s="413" t="s">
        <v>1135</v>
      </c>
      <c r="I110" s="413" t="s">
        <v>1136</v>
      </c>
      <c r="J110" s="413"/>
      <c r="K110" s="413" t="str">
        <f t="shared" si="14"/>
        <v xml:space="preserve">LUC, ONT, </v>
      </c>
      <c r="L110" s="413" t="str">
        <f t="shared" si="15"/>
        <v>LUC:0,06;ONT:0,01;</v>
      </c>
      <c r="M110" s="351">
        <v>0.06</v>
      </c>
      <c r="N110" s="351"/>
      <c r="O110" s="351"/>
      <c r="P110" s="351"/>
      <c r="Q110" s="351"/>
      <c r="R110" s="351"/>
      <c r="S110" s="351"/>
      <c r="T110" s="351"/>
      <c r="U110" s="351"/>
      <c r="V110" s="351"/>
      <c r="W110" s="351"/>
      <c r="X110" s="351"/>
      <c r="Y110" s="351"/>
      <c r="Z110" s="351"/>
      <c r="AA110" s="351"/>
      <c r="AB110" s="351"/>
      <c r="AC110" s="351"/>
      <c r="AD110" s="351"/>
      <c r="AE110" s="351"/>
      <c r="AF110" s="351"/>
      <c r="AG110" s="351"/>
      <c r="AH110" s="351"/>
      <c r="AI110" s="351"/>
      <c r="AJ110" s="351"/>
      <c r="AK110" s="351"/>
      <c r="AL110" s="351">
        <v>0.01</v>
      </c>
      <c r="AM110" s="351"/>
      <c r="AN110" s="351"/>
      <c r="AO110" s="351"/>
      <c r="AP110" s="351"/>
      <c r="AQ110" s="351"/>
      <c r="AR110" s="351"/>
      <c r="AS110" s="351"/>
      <c r="AT110" s="351"/>
      <c r="AU110" s="351"/>
      <c r="AV110" s="338" t="s">
        <v>306</v>
      </c>
      <c r="AW110" s="338" t="s">
        <v>306</v>
      </c>
      <c r="AX110" s="351" t="s">
        <v>439</v>
      </c>
      <c r="AY110" s="260" t="s">
        <v>439</v>
      </c>
      <c r="AZ110" s="181"/>
      <c r="BA110" s="350" t="s">
        <v>357</v>
      </c>
      <c r="BB110" s="351"/>
      <c r="BC110" s="156"/>
      <c r="BD110" s="156"/>
      <c r="BE110" s="156"/>
      <c r="BF110" s="156"/>
      <c r="BG110" s="156"/>
      <c r="BH110" s="351"/>
    </row>
    <row r="111" spans="1:62" ht="64.5" customHeight="1">
      <c r="A111" s="344">
        <f>SUBTOTAL(3,C$11:$C111)</f>
        <v>67</v>
      </c>
      <c r="B111" s="166" t="s">
        <v>440</v>
      </c>
      <c r="C111" s="338" t="s">
        <v>42</v>
      </c>
      <c r="D111" s="339">
        <v>0.16</v>
      </c>
      <c r="E111" s="339"/>
      <c r="F111" s="339">
        <v>0.16</v>
      </c>
      <c r="G111" s="414">
        <f t="shared" si="13"/>
        <v>0.16</v>
      </c>
      <c r="H111" s="413" t="s">
        <v>1094</v>
      </c>
      <c r="I111" s="413" t="s">
        <v>1095</v>
      </c>
      <c r="J111" s="413"/>
      <c r="K111" s="413" t="str">
        <f t="shared" si="14"/>
        <v xml:space="preserve">LUC, HNK, </v>
      </c>
      <c r="L111" s="413" t="str">
        <f t="shared" si="15"/>
        <v>LUC:0,09;HNK:0,07;</v>
      </c>
      <c r="M111" s="351">
        <v>0.09</v>
      </c>
      <c r="N111" s="351"/>
      <c r="O111" s="351">
        <v>7.0000000000000007E-2</v>
      </c>
      <c r="P111" s="351"/>
      <c r="Q111" s="351"/>
      <c r="R111" s="351"/>
      <c r="S111" s="351"/>
      <c r="T111" s="351"/>
      <c r="U111" s="351"/>
      <c r="V111" s="351"/>
      <c r="W111" s="351"/>
      <c r="X111" s="351"/>
      <c r="Y111" s="351"/>
      <c r="Z111" s="351"/>
      <c r="AA111" s="351"/>
      <c r="AB111" s="351"/>
      <c r="AC111" s="351"/>
      <c r="AD111" s="351"/>
      <c r="AE111" s="351"/>
      <c r="AF111" s="351"/>
      <c r="AG111" s="351"/>
      <c r="AH111" s="351"/>
      <c r="AI111" s="351"/>
      <c r="AJ111" s="351"/>
      <c r="AK111" s="351"/>
      <c r="AL111" s="351"/>
      <c r="AM111" s="351"/>
      <c r="AN111" s="351"/>
      <c r="AO111" s="351"/>
      <c r="AP111" s="351"/>
      <c r="AQ111" s="351"/>
      <c r="AR111" s="351"/>
      <c r="AS111" s="351"/>
      <c r="AT111" s="351"/>
      <c r="AU111" s="351"/>
      <c r="AV111" s="338" t="s">
        <v>306</v>
      </c>
      <c r="AW111" s="338" t="s">
        <v>306</v>
      </c>
      <c r="AX111" s="351" t="s">
        <v>441</v>
      </c>
      <c r="AY111" s="260" t="s">
        <v>441</v>
      </c>
      <c r="AZ111" s="181" t="s">
        <v>1203</v>
      </c>
      <c r="BA111" s="350" t="s">
        <v>357</v>
      </c>
      <c r="BB111" s="351"/>
      <c r="BC111" s="156"/>
      <c r="BD111" s="156"/>
      <c r="BE111" s="156"/>
      <c r="BF111" s="156"/>
      <c r="BG111" s="156"/>
      <c r="BH111" s="351"/>
    </row>
    <row r="112" spans="1:62" ht="42" customHeight="1">
      <c r="A112" s="344">
        <f>SUBTOTAL(3,C$11:$C112)</f>
        <v>68</v>
      </c>
      <c r="B112" s="166" t="s">
        <v>442</v>
      </c>
      <c r="C112" s="338" t="s">
        <v>42</v>
      </c>
      <c r="D112" s="339">
        <v>0.16</v>
      </c>
      <c r="E112" s="339"/>
      <c r="F112" s="339">
        <v>0.16</v>
      </c>
      <c r="G112" s="414">
        <f t="shared" si="13"/>
        <v>0.16</v>
      </c>
      <c r="H112" s="413" t="s">
        <v>1094</v>
      </c>
      <c r="I112" s="413" t="s">
        <v>1095</v>
      </c>
      <c r="J112" s="413"/>
      <c r="K112" s="413" t="str">
        <f t="shared" si="14"/>
        <v xml:space="preserve">LUC, HNK, </v>
      </c>
      <c r="L112" s="413" t="str">
        <f t="shared" si="15"/>
        <v>LUC:0,07;HNK:0,09;</v>
      </c>
      <c r="M112" s="351">
        <v>7.0000000000000007E-2</v>
      </c>
      <c r="N112" s="351"/>
      <c r="O112" s="351">
        <v>0.09</v>
      </c>
      <c r="P112" s="351"/>
      <c r="Q112" s="351"/>
      <c r="R112" s="351"/>
      <c r="S112" s="351"/>
      <c r="T112" s="351"/>
      <c r="U112" s="351"/>
      <c r="V112" s="351"/>
      <c r="W112" s="351"/>
      <c r="X112" s="351"/>
      <c r="Y112" s="351"/>
      <c r="Z112" s="351"/>
      <c r="AA112" s="351"/>
      <c r="AB112" s="351"/>
      <c r="AC112" s="351"/>
      <c r="AD112" s="351"/>
      <c r="AE112" s="351"/>
      <c r="AF112" s="351"/>
      <c r="AG112" s="351"/>
      <c r="AH112" s="351"/>
      <c r="AI112" s="351"/>
      <c r="AJ112" s="351"/>
      <c r="AK112" s="351"/>
      <c r="AL112" s="351"/>
      <c r="AM112" s="351"/>
      <c r="AN112" s="351"/>
      <c r="AO112" s="351"/>
      <c r="AP112" s="351"/>
      <c r="AQ112" s="351"/>
      <c r="AR112" s="351"/>
      <c r="AS112" s="351"/>
      <c r="AT112" s="351"/>
      <c r="AU112" s="351"/>
      <c r="AV112" s="338" t="s">
        <v>306</v>
      </c>
      <c r="AW112" s="338" t="s">
        <v>306</v>
      </c>
      <c r="AX112" s="351" t="s">
        <v>443</v>
      </c>
      <c r="AY112" s="260" t="s">
        <v>443</v>
      </c>
      <c r="AZ112" s="181" t="s">
        <v>1204</v>
      </c>
      <c r="BA112" s="350" t="s">
        <v>357</v>
      </c>
      <c r="BB112" s="351"/>
      <c r="BC112" s="156"/>
      <c r="BD112" s="156"/>
      <c r="BE112" s="156"/>
      <c r="BF112" s="156"/>
      <c r="BG112" s="156"/>
      <c r="BH112" s="351"/>
    </row>
    <row r="113" spans="1:62" ht="42" customHeight="1">
      <c r="A113" s="344">
        <f>SUBTOTAL(3,C$11:$C113)</f>
        <v>69</v>
      </c>
      <c r="B113" s="166" t="s">
        <v>444</v>
      </c>
      <c r="C113" s="338" t="s">
        <v>42</v>
      </c>
      <c r="D113" s="339">
        <v>0.16</v>
      </c>
      <c r="E113" s="339"/>
      <c r="F113" s="339">
        <v>0.16</v>
      </c>
      <c r="G113" s="414">
        <f t="shared" si="13"/>
        <v>0.16</v>
      </c>
      <c r="H113" s="413" t="s">
        <v>1094</v>
      </c>
      <c r="I113" s="413" t="s">
        <v>1095</v>
      </c>
      <c r="J113" s="413"/>
      <c r="K113" s="413" t="str">
        <f t="shared" si="14"/>
        <v xml:space="preserve">LUC, HNK, </v>
      </c>
      <c r="L113" s="413" t="str">
        <f t="shared" si="15"/>
        <v>LUC:0,11;HNK:0,05;</v>
      </c>
      <c r="M113" s="351">
        <v>0.11</v>
      </c>
      <c r="N113" s="351"/>
      <c r="O113" s="351">
        <v>0.05</v>
      </c>
      <c r="P113" s="351"/>
      <c r="Q113" s="351"/>
      <c r="R113" s="351"/>
      <c r="S113" s="351"/>
      <c r="T113" s="351"/>
      <c r="U113" s="351"/>
      <c r="V113" s="351"/>
      <c r="W113" s="351"/>
      <c r="X113" s="351"/>
      <c r="Y113" s="351"/>
      <c r="Z113" s="351"/>
      <c r="AA113" s="351"/>
      <c r="AB113" s="351"/>
      <c r="AC113" s="351"/>
      <c r="AD113" s="351"/>
      <c r="AE113" s="351"/>
      <c r="AF113" s="351"/>
      <c r="AG113" s="351"/>
      <c r="AH113" s="351"/>
      <c r="AI113" s="351"/>
      <c r="AJ113" s="351"/>
      <c r="AK113" s="351"/>
      <c r="AL113" s="351"/>
      <c r="AM113" s="351"/>
      <c r="AN113" s="351"/>
      <c r="AO113" s="351"/>
      <c r="AP113" s="351"/>
      <c r="AQ113" s="351"/>
      <c r="AR113" s="351"/>
      <c r="AS113" s="351"/>
      <c r="AT113" s="351"/>
      <c r="AU113" s="351"/>
      <c r="AV113" s="338" t="s">
        <v>306</v>
      </c>
      <c r="AW113" s="338" t="s">
        <v>306</v>
      </c>
      <c r="AX113" s="351" t="s">
        <v>445</v>
      </c>
      <c r="AY113" s="260" t="s">
        <v>445</v>
      </c>
      <c r="AZ113" s="181" t="s">
        <v>1205</v>
      </c>
      <c r="BA113" s="350" t="s">
        <v>357</v>
      </c>
      <c r="BB113" s="351"/>
      <c r="BC113" s="156"/>
      <c r="BD113" s="156"/>
      <c r="BE113" s="156"/>
      <c r="BF113" s="156"/>
      <c r="BG113" s="156"/>
      <c r="BH113" s="351"/>
    </row>
    <row r="114" spans="1:62" ht="51.65" customHeight="1">
      <c r="A114" s="344">
        <f>SUBTOTAL(3,C$11:$C114)</f>
        <v>70</v>
      </c>
      <c r="B114" s="166" t="s">
        <v>446</v>
      </c>
      <c r="C114" s="338" t="s">
        <v>42</v>
      </c>
      <c r="D114" s="339">
        <v>0.26</v>
      </c>
      <c r="E114" s="339"/>
      <c r="F114" s="339">
        <v>0.26</v>
      </c>
      <c r="G114" s="414">
        <f t="shared" si="13"/>
        <v>0.26</v>
      </c>
      <c r="H114" s="413" t="s">
        <v>1196</v>
      </c>
      <c r="I114" s="413" t="s">
        <v>968</v>
      </c>
      <c r="J114" s="413"/>
      <c r="K114" s="413" t="str">
        <f t="shared" si="14"/>
        <v xml:space="preserve">LUC, HNK, CLN, </v>
      </c>
      <c r="L114" s="413" t="str">
        <f t="shared" si="15"/>
        <v>LUC:0,2;HNK:0,05;CLN:0,01;</v>
      </c>
      <c r="M114" s="351">
        <v>0.2</v>
      </c>
      <c r="N114" s="351"/>
      <c r="O114" s="351">
        <v>0.05</v>
      </c>
      <c r="P114" s="351">
        <v>0.01</v>
      </c>
      <c r="Q114" s="351"/>
      <c r="R114" s="351"/>
      <c r="S114" s="351"/>
      <c r="T114" s="351"/>
      <c r="U114" s="351"/>
      <c r="V114" s="351"/>
      <c r="W114" s="351"/>
      <c r="X114" s="351"/>
      <c r="Y114" s="351"/>
      <c r="Z114" s="351"/>
      <c r="AA114" s="351"/>
      <c r="AB114" s="351"/>
      <c r="AC114" s="351"/>
      <c r="AD114" s="351"/>
      <c r="AE114" s="351"/>
      <c r="AF114" s="351"/>
      <c r="AG114" s="351"/>
      <c r="AH114" s="351"/>
      <c r="AI114" s="351"/>
      <c r="AJ114" s="351"/>
      <c r="AK114" s="351"/>
      <c r="AL114" s="351"/>
      <c r="AM114" s="351"/>
      <c r="AN114" s="351"/>
      <c r="AO114" s="351"/>
      <c r="AP114" s="351"/>
      <c r="AQ114" s="351"/>
      <c r="AR114" s="351"/>
      <c r="AS114" s="351"/>
      <c r="AT114" s="351"/>
      <c r="AU114" s="351"/>
      <c r="AV114" s="338" t="s">
        <v>306</v>
      </c>
      <c r="AW114" s="338" t="s">
        <v>306</v>
      </c>
      <c r="AX114" s="351" t="s">
        <v>447</v>
      </c>
      <c r="AY114" s="260" t="s">
        <v>447</v>
      </c>
      <c r="AZ114" s="181" t="s">
        <v>1206</v>
      </c>
      <c r="BA114" s="350" t="s">
        <v>357</v>
      </c>
      <c r="BB114" s="351"/>
      <c r="BC114" s="156"/>
      <c r="BD114" s="156"/>
      <c r="BE114" s="156"/>
      <c r="BF114" s="156"/>
      <c r="BG114" s="156"/>
      <c r="BH114" s="351"/>
    </row>
    <row r="115" spans="1:62" ht="42" customHeight="1">
      <c r="A115" s="344">
        <f>SUBTOTAL(3,C$11:$C115)</f>
        <v>71</v>
      </c>
      <c r="B115" s="166" t="s">
        <v>448</v>
      </c>
      <c r="C115" s="338" t="s">
        <v>42</v>
      </c>
      <c r="D115" s="339">
        <v>0.14099999999999999</v>
      </c>
      <c r="E115" s="339"/>
      <c r="F115" s="339">
        <v>0.14099999999999999</v>
      </c>
      <c r="G115" s="414">
        <f t="shared" si="13"/>
        <v>0.14000000000000001</v>
      </c>
      <c r="H115" s="413" t="s">
        <v>1135</v>
      </c>
      <c r="I115" s="413" t="s">
        <v>1136</v>
      </c>
      <c r="J115" s="413"/>
      <c r="K115" s="413" t="str">
        <f t="shared" si="14"/>
        <v xml:space="preserve">LUC, ONT, </v>
      </c>
      <c r="L115" s="413" t="str">
        <f t="shared" si="15"/>
        <v>LUC:0,11;ONT:0,03;</v>
      </c>
      <c r="M115" s="351">
        <v>0.11</v>
      </c>
      <c r="N115" s="351"/>
      <c r="O115" s="351"/>
      <c r="P115" s="351"/>
      <c r="Q115" s="351"/>
      <c r="R115" s="351"/>
      <c r="S115" s="351"/>
      <c r="T115" s="351"/>
      <c r="U115" s="351"/>
      <c r="V115" s="351"/>
      <c r="W115" s="351"/>
      <c r="X115" s="351"/>
      <c r="Y115" s="351"/>
      <c r="Z115" s="351"/>
      <c r="AA115" s="351"/>
      <c r="AB115" s="351"/>
      <c r="AC115" s="351"/>
      <c r="AD115" s="351"/>
      <c r="AE115" s="351"/>
      <c r="AF115" s="351"/>
      <c r="AG115" s="351"/>
      <c r="AH115" s="351"/>
      <c r="AI115" s="351"/>
      <c r="AJ115" s="351"/>
      <c r="AK115" s="351"/>
      <c r="AL115" s="351">
        <v>0.03</v>
      </c>
      <c r="AM115" s="351"/>
      <c r="AN115" s="351"/>
      <c r="AO115" s="351"/>
      <c r="AP115" s="351"/>
      <c r="AQ115" s="351"/>
      <c r="AR115" s="351"/>
      <c r="AS115" s="351"/>
      <c r="AT115" s="351"/>
      <c r="AU115" s="351"/>
      <c r="AV115" s="338" t="s">
        <v>306</v>
      </c>
      <c r="AW115" s="338" t="s">
        <v>306</v>
      </c>
      <c r="AX115" s="351" t="s">
        <v>449</v>
      </c>
      <c r="AY115" s="260" t="s">
        <v>449</v>
      </c>
      <c r="AZ115" s="181"/>
      <c r="BA115" s="350" t="s">
        <v>357</v>
      </c>
      <c r="BB115" s="351"/>
      <c r="BC115" s="156"/>
      <c r="BD115" s="156"/>
      <c r="BE115" s="156"/>
      <c r="BF115" s="156"/>
      <c r="BG115" s="156"/>
      <c r="BH115" s="351"/>
    </row>
    <row r="116" spans="1:62" ht="42" customHeight="1">
      <c r="A116" s="344">
        <f>SUBTOTAL(3,C$11:$C116)</f>
        <v>72</v>
      </c>
      <c r="B116" s="166" t="s">
        <v>450</v>
      </c>
      <c r="C116" s="338" t="s">
        <v>42</v>
      </c>
      <c r="D116" s="339">
        <v>0.14099999999999999</v>
      </c>
      <c r="E116" s="339"/>
      <c r="F116" s="339">
        <v>0.14099999999999999</v>
      </c>
      <c r="G116" s="414">
        <f t="shared" si="13"/>
        <v>0.14000000000000001</v>
      </c>
      <c r="H116" s="413" t="s">
        <v>1196</v>
      </c>
      <c r="I116" s="413" t="s">
        <v>968</v>
      </c>
      <c r="J116" s="413"/>
      <c r="K116" s="413" t="str">
        <f t="shared" si="14"/>
        <v xml:space="preserve">LUC, HNK, CLN, </v>
      </c>
      <c r="L116" s="413" t="str">
        <f t="shared" si="15"/>
        <v>LUC:0,06;HNK:0,03;CLN:0,05;</v>
      </c>
      <c r="M116" s="351">
        <v>0.06</v>
      </c>
      <c r="N116" s="351"/>
      <c r="O116" s="351">
        <v>0.03</v>
      </c>
      <c r="P116" s="351">
        <v>0.05</v>
      </c>
      <c r="Q116" s="351"/>
      <c r="R116" s="351"/>
      <c r="S116" s="351"/>
      <c r="T116" s="351"/>
      <c r="U116" s="351"/>
      <c r="V116" s="351"/>
      <c r="W116" s="351"/>
      <c r="X116" s="351"/>
      <c r="Y116" s="351"/>
      <c r="Z116" s="351"/>
      <c r="AA116" s="351"/>
      <c r="AB116" s="351"/>
      <c r="AC116" s="351"/>
      <c r="AD116" s="351"/>
      <c r="AE116" s="351"/>
      <c r="AF116" s="351"/>
      <c r="AG116" s="351"/>
      <c r="AH116" s="351"/>
      <c r="AI116" s="351"/>
      <c r="AJ116" s="351"/>
      <c r="AK116" s="351"/>
      <c r="AL116" s="351"/>
      <c r="AM116" s="351"/>
      <c r="AN116" s="351"/>
      <c r="AO116" s="351"/>
      <c r="AP116" s="351"/>
      <c r="AQ116" s="351"/>
      <c r="AR116" s="351"/>
      <c r="AS116" s="351"/>
      <c r="AT116" s="351"/>
      <c r="AU116" s="351"/>
      <c r="AV116" s="338" t="s">
        <v>306</v>
      </c>
      <c r="AW116" s="338" t="s">
        <v>306</v>
      </c>
      <c r="AX116" s="351" t="s">
        <v>451</v>
      </c>
      <c r="AY116" s="260" t="s">
        <v>451</v>
      </c>
      <c r="AZ116" s="181"/>
      <c r="BA116" s="350" t="s">
        <v>357</v>
      </c>
      <c r="BB116" s="351"/>
      <c r="BC116" s="156"/>
      <c r="BD116" s="156"/>
      <c r="BE116" s="156"/>
      <c r="BF116" s="156"/>
      <c r="BG116" s="156"/>
      <c r="BH116" s="351"/>
    </row>
    <row r="117" spans="1:62" ht="151.5" customHeight="1">
      <c r="A117" s="344">
        <f>SUBTOTAL(3,C$11:$C117)</f>
        <v>73</v>
      </c>
      <c r="B117" s="166" t="s">
        <v>1748</v>
      </c>
      <c r="C117" s="338" t="s">
        <v>42</v>
      </c>
      <c r="D117" s="339">
        <v>0.23</v>
      </c>
      <c r="E117" s="339"/>
      <c r="F117" s="339">
        <v>0.23</v>
      </c>
      <c r="G117" s="414">
        <f t="shared" si="13"/>
        <v>0.22999999999999998</v>
      </c>
      <c r="H117" s="413" t="s">
        <v>1196</v>
      </c>
      <c r="I117" s="413" t="s">
        <v>968</v>
      </c>
      <c r="J117" s="413"/>
      <c r="K117" s="413" t="str">
        <f t="shared" si="14"/>
        <v xml:space="preserve">LUC, HNK, CLN, </v>
      </c>
      <c r="L117" s="413" t="str">
        <f t="shared" si="15"/>
        <v>LUC:0,15;HNK:0,06;CLN:0,02;</v>
      </c>
      <c r="M117" s="351">
        <v>0.15</v>
      </c>
      <c r="N117" s="351"/>
      <c r="O117" s="351">
        <v>0.06</v>
      </c>
      <c r="P117" s="351">
        <v>0.02</v>
      </c>
      <c r="Q117" s="351"/>
      <c r="R117" s="351"/>
      <c r="S117" s="351"/>
      <c r="T117" s="351"/>
      <c r="U117" s="351"/>
      <c r="V117" s="351"/>
      <c r="W117" s="351"/>
      <c r="X117" s="351"/>
      <c r="Y117" s="351"/>
      <c r="Z117" s="351"/>
      <c r="AA117" s="351"/>
      <c r="AB117" s="351"/>
      <c r="AC117" s="351"/>
      <c r="AD117" s="351"/>
      <c r="AE117" s="351"/>
      <c r="AF117" s="351"/>
      <c r="AG117" s="351"/>
      <c r="AH117" s="351"/>
      <c r="AI117" s="351"/>
      <c r="AJ117" s="351"/>
      <c r="AK117" s="351"/>
      <c r="AL117" s="351"/>
      <c r="AM117" s="351"/>
      <c r="AN117" s="351"/>
      <c r="AO117" s="351"/>
      <c r="AP117" s="351"/>
      <c r="AQ117" s="351"/>
      <c r="AR117" s="351"/>
      <c r="AS117" s="351"/>
      <c r="AT117" s="351"/>
      <c r="AU117" s="351"/>
      <c r="AV117" s="338" t="s">
        <v>258</v>
      </c>
      <c r="AW117" s="338" t="s">
        <v>258</v>
      </c>
      <c r="AX117" s="351" t="s">
        <v>452</v>
      </c>
      <c r="AY117" s="260" t="s">
        <v>452</v>
      </c>
      <c r="AZ117" s="181" t="s">
        <v>1207</v>
      </c>
      <c r="BA117" s="350" t="s">
        <v>357</v>
      </c>
      <c r="BB117" s="351"/>
      <c r="BC117" s="156"/>
      <c r="BD117" s="156"/>
      <c r="BE117" s="156"/>
      <c r="BF117" s="156"/>
      <c r="BG117" s="156"/>
      <c r="BH117" s="351"/>
    </row>
    <row r="118" spans="1:62" ht="42" customHeight="1">
      <c r="A118" s="344">
        <f>SUBTOTAL(3,C$11:$C118)</f>
        <v>74</v>
      </c>
      <c r="B118" s="166" t="s">
        <v>453</v>
      </c>
      <c r="C118" s="338" t="s">
        <v>42</v>
      </c>
      <c r="D118" s="339">
        <v>1</v>
      </c>
      <c r="E118" s="339"/>
      <c r="F118" s="339">
        <v>1</v>
      </c>
      <c r="G118" s="414">
        <f t="shared" si="13"/>
        <v>1</v>
      </c>
      <c r="H118" s="413" t="s">
        <v>1208</v>
      </c>
      <c r="I118" s="413" t="s">
        <v>1208</v>
      </c>
      <c r="J118" s="413"/>
      <c r="K118" s="413" t="str">
        <f t="shared" si="14"/>
        <v xml:space="preserve">LUK, HNK, </v>
      </c>
      <c r="L118" s="413" t="str">
        <f t="shared" si="15"/>
        <v>LUK:0,5;HNK:0,5;</v>
      </c>
      <c r="M118" s="351"/>
      <c r="N118" s="351">
        <v>0.5</v>
      </c>
      <c r="O118" s="351">
        <v>0.5</v>
      </c>
      <c r="P118" s="351"/>
      <c r="Q118" s="351"/>
      <c r="R118" s="351"/>
      <c r="S118" s="351"/>
      <c r="T118" s="351"/>
      <c r="U118" s="351"/>
      <c r="V118" s="351"/>
      <c r="W118" s="351"/>
      <c r="X118" s="351"/>
      <c r="Y118" s="351"/>
      <c r="Z118" s="351"/>
      <c r="AA118" s="351"/>
      <c r="AB118" s="351"/>
      <c r="AC118" s="351"/>
      <c r="AD118" s="351"/>
      <c r="AE118" s="351"/>
      <c r="AF118" s="351"/>
      <c r="AG118" s="351"/>
      <c r="AH118" s="351"/>
      <c r="AI118" s="351"/>
      <c r="AJ118" s="351"/>
      <c r="AK118" s="351"/>
      <c r="AL118" s="351"/>
      <c r="AM118" s="351"/>
      <c r="AN118" s="351"/>
      <c r="AO118" s="351"/>
      <c r="AP118" s="351"/>
      <c r="AQ118" s="351"/>
      <c r="AR118" s="351"/>
      <c r="AS118" s="351"/>
      <c r="AT118" s="351"/>
      <c r="AU118" s="351"/>
      <c r="AV118" s="338" t="s">
        <v>295</v>
      </c>
      <c r="AW118" s="338" t="s">
        <v>295</v>
      </c>
      <c r="AX118" s="351" t="s">
        <v>454</v>
      </c>
      <c r="AY118" s="260" t="s">
        <v>454</v>
      </c>
      <c r="AZ118" s="181"/>
      <c r="BA118" s="350" t="s">
        <v>357</v>
      </c>
      <c r="BB118" s="351"/>
      <c r="BC118" s="156"/>
      <c r="BD118" s="156"/>
      <c r="BE118" s="156"/>
      <c r="BF118" s="156"/>
      <c r="BG118" s="156"/>
      <c r="BH118" s="351"/>
    </row>
    <row r="119" spans="1:62" ht="42" customHeight="1">
      <c r="A119" s="344">
        <f>SUBTOTAL(3,C$11:$C119)</f>
        <v>75</v>
      </c>
      <c r="B119" s="337" t="s">
        <v>455</v>
      </c>
      <c r="C119" s="338" t="s">
        <v>42</v>
      </c>
      <c r="D119" s="339">
        <v>0.05</v>
      </c>
      <c r="E119" s="339"/>
      <c r="F119" s="339">
        <v>0.05</v>
      </c>
      <c r="G119" s="414">
        <f t="shared" si="13"/>
        <v>0.05</v>
      </c>
      <c r="H119" s="413" t="s">
        <v>11</v>
      </c>
      <c r="I119" s="413" t="s">
        <v>11</v>
      </c>
      <c r="J119" s="413"/>
      <c r="K119" s="413" t="str">
        <f t="shared" si="14"/>
        <v xml:space="preserve">HNK, </v>
      </c>
      <c r="L119" s="413" t="str">
        <f t="shared" si="15"/>
        <v>HNK:0,05;</v>
      </c>
      <c r="M119" s="351"/>
      <c r="N119" s="351"/>
      <c r="O119" s="351">
        <v>0.05</v>
      </c>
      <c r="P119" s="351"/>
      <c r="Q119" s="351"/>
      <c r="R119" s="351"/>
      <c r="S119" s="351"/>
      <c r="T119" s="351"/>
      <c r="U119" s="351"/>
      <c r="V119" s="351"/>
      <c r="W119" s="351"/>
      <c r="X119" s="351"/>
      <c r="Y119" s="351"/>
      <c r="Z119" s="351"/>
      <c r="AA119" s="351"/>
      <c r="AB119" s="351"/>
      <c r="AC119" s="351"/>
      <c r="AD119" s="351"/>
      <c r="AE119" s="351"/>
      <c r="AF119" s="351"/>
      <c r="AG119" s="351"/>
      <c r="AH119" s="351"/>
      <c r="AI119" s="351"/>
      <c r="AJ119" s="351"/>
      <c r="AK119" s="351"/>
      <c r="AL119" s="351"/>
      <c r="AM119" s="351"/>
      <c r="AN119" s="351"/>
      <c r="AO119" s="351"/>
      <c r="AP119" s="351"/>
      <c r="AQ119" s="351"/>
      <c r="AR119" s="351"/>
      <c r="AS119" s="351"/>
      <c r="AT119" s="351"/>
      <c r="AU119" s="351"/>
      <c r="AV119" s="338" t="s">
        <v>370</v>
      </c>
      <c r="AW119" s="338" t="s">
        <v>370</v>
      </c>
      <c r="AX119" s="350" t="s">
        <v>1209</v>
      </c>
      <c r="AY119" s="356" t="s">
        <v>1209</v>
      </c>
      <c r="AZ119" s="181" t="s">
        <v>1210</v>
      </c>
      <c r="BA119" s="350" t="s">
        <v>357</v>
      </c>
      <c r="BB119" s="185"/>
      <c r="BC119" s="156"/>
      <c r="BD119" s="156"/>
      <c r="BE119" s="156"/>
      <c r="BF119" s="156"/>
      <c r="BG119" s="156"/>
      <c r="BH119" s="351"/>
    </row>
    <row r="120" spans="1:62" ht="42" customHeight="1">
      <c r="A120" s="344">
        <f>SUBTOTAL(3,C$11:$C120)</f>
        <v>76</v>
      </c>
      <c r="B120" s="337" t="s">
        <v>456</v>
      </c>
      <c r="C120" s="338" t="s">
        <v>42</v>
      </c>
      <c r="D120" s="339">
        <v>1.3</v>
      </c>
      <c r="E120" s="339"/>
      <c r="F120" s="339">
        <v>1.3</v>
      </c>
      <c r="G120" s="414">
        <f t="shared" si="13"/>
        <v>1.3</v>
      </c>
      <c r="H120" s="413" t="s">
        <v>5</v>
      </c>
      <c r="I120" s="413" t="s">
        <v>7</v>
      </c>
      <c r="J120" s="413"/>
      <c r="K120" s="413" t="str">
        <f t="shared" si="14"/>
        <v xml:space="preserve">LUC, </v>
      </c>
      <c r="L120" s="413" t="str">
        <f t="shared" si="15"/>
        <v>LUC:1,3;</v>
      </c>
      <c r="M120" s="351">
        <v>1.3</v>
      </c>
      <c r="N120" s="351"/>
      <c r="O120" s="351"/>
      <c r="P120" s="351"/>
      <c r="Q120" s="351"/>
      <c r="R120" s="351"/>
      <c r="S120" s="351"/>
      <c r="T120" s="351"/>
      <c r="U120" s="351"/>
      <c r="V120" s="351"/>
      <c r="W120" s="351"/>
      <c r="X120" s="351"/>
      <c r="Y120" s="351"/>
      <c r="Z120" s="351"/>
      <c r="AA120" s="351"/>
      <c r="AB120" s="351"/>
      <c r="AC120" s="351"/>
      <c r="AD120" s="351"/>
      <c r="AE120" s="351"/>
      <c r="AF120" s="351"/>
      <c r="AG120" s="351"/>
      <c r="AH120" s="351"/>
      <c r="AI120" s="351"/>
      <c r="AJ120" s="351"/>
      <c r="AK120" s="351"/>
      <c r="AL120" s="351"/>
      <c r="AM120" s="351"/>
      <c r="AN120" s="351"/>
      <c r="AO120" s="351"/>
      <c r="AP120" s="351"/>
      <c r="AQ120" s="351"/>
      <c r="AR120" s="351"/>
      <c r="AS120" s="351"/>
      <c r="AT120" s="351"/>
      <c r="AU120" s="351"/>
      <c r="AV120" s="338" t="s">
        <v>300</v>
      </c>
      <c r="AW120" s="338" t="s">
        <v>300</v>
      </c>
      <c r="AX120" s="351"/>
      <c r="AY120" s="260"/>
      <c r="AZ120" s="181"/>
      <c r="BA120" s="350" t="s">
        <v>357</v>
      </c>
      <c r="BB120" s="185"/>
      <c r="BC120" s="156"/>
      <c r="BD120" s="156"/>
      <c r="BE120" s="156"/>
      <c r="BF120" s="156"/>
      <c r="BG120" s="156"/>
      <c r="BH120" s="351"/>
    </row>
    <row r="121" spans="1:62" ht="42" customHeight="1">
      <c r="A121" s="344">
        <f>SUBTOTAL(3,C$11:$C121)</f>
        <v>77</v>
      </c>
      <c r="B121" s="337" t="s">
        <v>457</v>
      </c>
      <c r="C121" s="338" t="s">
        <v>42</v>
      </c>
      <c r="D121" s="339">
        <v>0.4</v>
      </c>
      <c r="E121" s="339"/>
      <c r="F121" s="339">
        <v>0.4</v>
      </c>
      <c r="G121" s="414">
        <f t="shared" si="13"/>
        <v>0.4</v>
      </c>
      <c r="H121" s="413" t="s">
        <v>1135</v>
      </c>
      <c r="I121" s="413" t="s">
        <v>1136</v>
      </c>
      <c r="J121" s="413"/>
      <c r="K121" s="413" t="str">
        <f t="shared" si="14"/>
        <v xml:space="preserve">LUC, ONT, </v>
      </c>
      <c r="L121" s="413" t="str">
        <f t="shared" si="15"/>
        <v>LUC:0,38;ONT:0,02;</v>
      </c>
      <c r="M121" s="351">
        <v>0.38</v>
      </c>
      <c r="N121" s="351"/>
      <c r="O121" s="351"/>
      <c r="P121" s="351"/>
      <c r="Q121" s="351"/>
      <c r="R121" s="351"/>
      <c r="S121" s="351"/>
      <c r="T121" s="351"/>
      <c r="U121" s="351"/>
      <c r="V121" s="351"/>
      <c r="W121" s="351"/>
      <c r="X121" s="351"/>
      <c r="Y121" s="351"/>
      <c r="Z121" s="351"/>
      <c r="AA121" s="351"/>
      <c r="AB121" s="351"/>
      <c r="AC121" s="351"/>
      <c r="AD121" s="351"/>
      <c r="AE121" s="351"/>
      <c r="AF121" s="351"/>
      <c r="AG121" s="351"/>
      <c r="AH121" s="351"/>
      <c r="AI121" s="351"/>
      <c r="AJ121" s="351"/>
      <c r="AK121" s="351"/>
      <c r="AL121" s="351">
        <v>0.02</v>
      </c>
      <c r="AM121" s="351"/>
      <c r="AN121" s="351"/>
      <c r="AO121" s="351"/>
      <c r="AP121" s="351"/>
      <c r="AQ121" s="351"/>
      <c r="AR121" s="351"/>
      <c r="AS121" s="351"/>
      <c r="AT121" s="351"/>
      <c r="AU121" s="351"/>
      <c r="AV121" s="338" t="s">
        <v>300</v>
      </c>
      <c r="AW121" s="338" t="s">
        <v>300</v>
      </c>
      <c r="AX121" s="351"/>
      <c r="AY121" s="260"/>
      <c r="AZ121" s="181"/>
      <c r="BA121" s="350" t="s">
        <v>357</v>
      </c>
      <c r="BB121" s="185"/>
      <c r="BC121" s="156"/>
      <c r="BD121" s="156"/>
      <c r="BE121" s="156"/>
      <c r="BF121" s="156"/>
      <c r="BG121" s="156"/>
      <c r="BH121" s="351"/>
    </row>
    <row r="122" spans="1:62" ht="42" customHeight="1">
      <c r="A122" s="344">
        <f>SUBTOTAL(3,C$11:$C122)</f>
        <v>78</v>
      </c>
      <c r="B122" s="337" t="s">
        <v>458</v>
      </c>
      <c r="C122" s="338" t="s">
        <v>42</v>
      </c>
      <c r="D122" s="339">
        <v>0.7</v>
      </c>
      <c r="E122" s="339">
        <v>0.17</v>
      </c>
      <c r="F122" s="339">
        <v>0.53</v>
      </c>
      <c r="G122" s="414">
        <f t="shared" si="13"/>
        <v>0.53</v>
      </c>
      <c r="H122" s="413" t="s">
        <v>1135</v>
      </c>
      <c r="I122" s="413" t="s">
        <v>1136</v>
      </c>
      <c r="J122" s="413"/>
      <c r="K122" s="413" t="str">
        <f t="shared" si="14"/>
        <v xml:space="preserve">LUC, ONT, </v>
      </c>
      <c r="L122" s="413" t="str">
        <f t="shared" si="15"/>
        <v>LUC:0,39;ONT:0,14;</v>
      </c>
      <c r="M122" s="351">
        <v>0.39</v>
      </c>
      <c r="N122" s="351"/>
      <c r="O122" s="351"/>
      <c r="P122" s="351"/>
      <c r="Q122" s="351"/>
      <c r="R122" s="351"/>
      <c r="S122" s="351"/>
      <c r="T122" s="351"/>
      <c r="U122" s="351"/>
      <c r="V122" s="351"/>
      <c r="W122" s="351"/>
      <c r="X122" s="351"/>
      <c r="Y122" s="351"/>
      <c r="Z122" s="351"/>
      <c r="AA122" s="351"/>
      <c r="AB122" s="351"/>
      <c r="AC122" s="351"/>
      <c r="AD122" s="351"/>
      <c r="AE122" s="351"/>
      <c r="AF122" s="351"/>
      <c r="AG122" s="351"/>
      <c r="AH122" s="351"/>
      <c r="AI122" s="351"/>
      <c r="AJ122" s="351"/>
      <c r="AK122" s="351"/>
      <c r="AL122" s="351">
        <v>0.14000000000000001</v>
      </c>
      <c r="AM122" s="351"/>
      <c r="AN122" s="351"/>
      <c r="AO122" s="351"/>
      <c r="AP122" s="351"/>
      <c r="AQ122" s="351"/>
      <c r="AR122" s="351"/>
      <c r="AS122" s="351"/>
      <c r="AT122" s="351"/>
      <c r="AU122" s="351"/>
      <c r="AV122" s="338" t="s">
        <v>300</v>
      </c>
      <c r="AW122" s="338" t="s">
        <v>300</v>
      </c>
      <c r="AX122" s="351"/>
      <c r="AY122" s="260"/>
      <c r="AZ122" s="181"/>
      <c r="BA122" s="350" t="s">
        <v>357</v>
      </c>
      <c r="BB122" s="185"/>
      <c r="BC122" s="156"/>
      <c r="BD122" s="156"/>
      <c r="BE122" s="156"/>
      <c r="BF122" s="156"/>
      <c r="BG122" s="156"/>
      <c r="BH122" s="351"/>
    </row>
    <row r="123" spans="1:62" ht="42" customHeight="1">
      <c r="A123" s="344">
        <f>SUBTOTAL(3,C$11:$C123)</f>
        <v>79</v>
      </c>
      <c r="B123" s="337" t="s">
        <v>459</v>
      </c>
      <c r="C123" s="338" t="s">
        <v>42</v>
      </c>
      <c r="D123" s="339">
        <v>3.4</v>
      </c>
      <c r="E123" s="339">
        <v>1.77</v>
      </c>
      <c r="F123" s="339">
        <v>1.63</v>
      </c>
      <c r="G123" s="414">
        <f t="shared" si="13"/>
        <v>1.63</v>
      </c>
      <c r="H123" s="413" t="s">
        <v>1211</v>
      </c>
      <c r="I123" s="413" t="s">
        <v>1212</v>
      </c>
      <c r="J123" s="413"/>
      <c r="K123" s="413" t="str">
        <f t="shared" si="14"/>
        <v xml:space="preserve">LUC, HNK, CLN, NTS, SKC, ONT, </v>
      </c>
      <c r="L123" s="413" t="str">
        <f t="shared" si="15"/>
        <v>LUC:0,71;HNK:0,07;CLN:0,08;NTS:0,03;SKC:0,04;ONT:0,7;</v>
      </c>
      <c r="M123" s="351">
        <v>0.71</v>
      </c>
      <c r="N123" s="351"/>
      <c r="O123" s="351">
        <v>7.0000000000000007E-2</v>
      </c>
      <c r="P123" s="351">
        <v>0.08</v>
      </c>
      <c r="Q123" s="351">
        <v>0.03</v>
      </c>
      <c r="R123" s="351"/>
      <c r="S123" s="351"/>
      <c r="T123" s="351"/>
      <c r="U123" s="351"/>
      <c r="V123" s="351">
        <v>0.04</v>
      </c>
      <c r="W123" s="351"/>
      <c r="X123" s="351"/>
      <c r="Y123" s="351"/>
      <c r="Z123" s="351"/>
      <c r="AA123" s="351"/>
      <c r="AB123" s="351"/>
      <c r="AC123" s="351"/>
      <c r="AD123" s="351"/>
      <c r="AE123" s="351"/>
      <c r="AF123" s="351"/>
      <c r="AG123" s="351"/>
      <c r="AH123" s="351"/>
      <c r="AI123" s="351"/>
      <c r="AJ123" s="351"/>
      <c r="AK123" s="351"/>
      <c r="AL123" s="351">
        <v>0.7</v>
      </c>
      <c r="AM123" s="351"/>
      <c r="AN123" s="351"/>
      <c r="AO123" s="351"/>
      <c r="AP123" s="351"/>
      <c r="AQ123" s="351"/>
      <c r="AR123" s="351"/>
      <c r="AS123" s="351"/>
      <c r="AT123" s="351"/>
      <c r="AU123" s="351"/>
      <c r="AV123" s="338" t="s">
        <v>300</v>
      </c>
      <c r="AW123" s="338" t="s">
        <v>300</v>
      </c>
      <c r="AX123" s="351"/>
      <c r="AY123" s="260"/>
      <c r="AZ123" s="181"/>
      <c r="BA123" s="350" t="s">
        <v>357</v>
      </c>
      <c r="BB123" s="185"/>
      <c r="BC123" s="156"/>
      <c r="BD123" s="156"/>
      <c r="BE123" s="156"/>
      <c r="BF123" s="156"/>
      <c r="BG123" s="156"/>
      <c r="BH123" s="351"/>
    </row>
    <row r="124" spans="1:62" ht="42" customHeight="1">
      <c r="A124" s="344">
        <f>SUBTOTAL(3,C$11:$C124)</f>
        <v>80</v>
      </c>
      <c r="B124" s="337" t="s">
        <v>460</v>
      </c>
      <c r="C124" s="338" t="s">
        <v>42</v>
      </c>
      <c r="D124" s="339">
        <v>0.4</v>
      </c>
      <c r="E124" s="339"/>
      <c r="F124" s="339">
        <v>0.4</v>
      </c>
      <c r="G124" s="414">
        <f t="shared" si="13"/>
        <v>0.4</v>
      </c>
      <c r="H124" s="413" t="s">
        <v>5</v>
      </c>
      <c r="I124" s="413" t="s">
        <v>7</v>
      </c>
      <c r="J124" s="413"/>
      <c r="K124" s="413" t="str">
        <f t="shared" si="14"/>
        <v xml:space="preserve">LUC, </v>
      </c>
      <c r="L124" s="413" t="str">
        <f t="shared" si="15"/>
        <v>LUC:0,4;</v>
      </c>
      <c r="M124" s="351">
        <v>0.4</v>
      </c>
      <c r="N124" s="351"/>
      <c r="O124" s="351"/>
      <c r="P124" s="351"/>
      <c r="Q124" s="351"/>
      <c r="R124" s="351"/>
      <c r="S124" s="351"/>
      <c r="T124" s="351"/>
      <c r="U124" s="351"/>
      <c r="V124" s="351"/>
      <c r="W124" s="351"/>
      <c r="X124" s="351"/>
      <c r="Y124" s="351"/>
      <c r="Z124" s="351"/>
      <c r="AA124" s="351"/>
      <c r="AB124" s="351"/>
      <c r="AC124" s="351"/>
      <c r="AD124" s="351"/>
      <c r="AE124" s="351"/>
      <c r="AF124" s="351"/>
      <c r="AG124" s="351"/>
      <c r="AH124" s="351"/>
      <c r="AI124" s="351"/>
      <c r="AJ124" s="351"/>
      <c r="AK124" s="351"/>
      <c r="AL124" s="351"/>
      <c r="AM124" s="351"/>
      <c r="AN124" s="351"/>
      <c r="AO124" s="351"/>
      <c r="AP124" s="351"/>
      <c r="AQ124" s="351"/>
      <c r="AR124" s="351"/>
      <c r="AS124" s="351"/>
      <c r="AT124" s="351"/>
      <c r="AU124" s="351"/>
      <c r="AV124" s="338" t="s">
        <v>300</v>
      </c>
      <c r="AW124" s="338" t="s">
        <v>300</v>
      </c>
      <c r="AX124" s="351" t="s">
        <v>319</v>
      </c>
      <c r="AY124" s="260" t="s">
        <v>319</v>
      </c>
      <c r="AZ124" s="181" t="s">
        <v>1213</v>
      </c>
      <c r="BA124" s="350" t="s">
        <v>357</v>
      </c>
      <c r="BB124" s="185"/>
      <c r="BC124" s="156"/>
      <c r="BD124" s="156"/>
      <c r="BE124" s="156"/>
      <c r="BF124" s="156"/>
      <c r="BG124" s="156"/>
      <c r="BH124" s="351"/>
    </row>
    <row r="125" spans="1:62" ht="42" customHeight="1">
      <c r="A125" s="344">
        <f>SUBTOTAL(3,C$11:$C125)</f>
        <v>81</v>
      </c>
      <c r="B125" s="337" t="s">
        <v>461</v>
      </c>
      <c r="C125" s="338" t="s">
        <v>42</v>
      </c>
      <c r="D125" s="339">
        <v>0.4</v>
      </c>
      <c r="E125" s="339"/>
      <c r="F125" s="339">
        <v>0.4</v>
      </c>
      <c r="G125" s="414">
        <f t="shared" si="13"/>
        <v>0.4</v>
      </c>
      <c r="H125" s="413" t="s">
        <v>5</v>
      </c>
      <c r="I125" s="413" t="s">
        <v>7</v>
      </c>
      <c r="J125" s="413"/>
      <c r="K125" s="413" t="str">
        <f t="shared" si="14"/>
        <v xml:space="preserve">LUC, </v>
      </c>
      <c r="L125" s="413" t="str">
        <f t="shared" si="15"/>
        <v>LUC:0,4;</v>
      </c>
      <c r="M125" s="351">
        <v>0.4</v>
      </c>
      <c r="N125" s="351"/>
      <c r="O125" s="351"/>
      <c r="P125" s="351"/>
      <c r="Q125" s="351"/>
      <c r="R125" s="351"/>
      <c r="S125" s="351"/>
      <c r="T125" s="351"/>
      <c r="U125" s="351"/>
      <c r="V125" s="351"/>
      <c r="W125" s="351"/>
      <c r="X125" s="351"/>
      <c r="Y125" s="351"/>
      <c r="Z125" s="351"/>
      <c r="AA125" s="351"/>
      <c r="AB125" s="351"/>
      <c r="AC125" s="351"/>
      <c r="AD125" s="351"/>
      <c r="AE125" s="351"/>
      <c r="AF125" s="351"/>
      <c r="AG125" s="351"/>
      <c r="AH125" s="351"/>
      <c r="AI125" s="351"/>
      <c r="AJ125" s="351"/>
      <c r="AK125" s="351"/>
      <c r="AL125" s="351"/>
      <c r="AM125" s="351"/>
      <c r="AN125" s="351"/>
      <c r="AO125" s="351"/>
      <c r="AP125" s="351"/>
      <c r="AQ125" s="351"/>
      <c r="AR125" s="351"/>
      <c r="AS125" s="351"/>
      <c r="AT125" s="351"/>
      <c r="AU125" s="351"/>
      <c r="AV125" s="338" t="s">
        <v>300</v>
      </c>
      <c r="AW125" s="338" t="s">
        <v>300</v>
      </c>
      <c r="AX125" s="351" t="s">
        <v>319</v>
      </c>
      <c r="AY125" s="260" t="s">
        <v>319</v>
      </c>
      <c r="AZ125" s="181" t="s">
        <v>1214</v>
      </c>
      <c r="BA125" s="350" t="s">
        <v>357</v>
      </c>
      <c r="BB125" s="185"/>
      <c r="BC125" s="156"/>
      <c r="BD125" s="156"/>
      <c r="BE125" s="156"/>
      <c r="BF125" s="156"/>
      <c r="BG125" s="156"/>
      <c r="BH125" s="351"/>
    </row>
    <row r="126" spans="1:62" s="430" customFormat="1" ht="42" customHeight="1">
      <c r="A126" s="444"/>
      <c r="B126" s="445" t="s">
        <v>1864</v>
      </c>
      <c r="C126" s="422" t="s">
        <v>42</v>
      </c>
      <c r="D126" s="446">
        <v>0.12</v>
      </c>
      <c r="E126" s="446"/>
      <c r="F126" s="446">
        <v>0.12</v>
      </c>
      <c r="G126" s="421"/>
      <c r="H126" s="420"/>
      <c r="I126" s="420"/>
      <c r="J126" s="420"/>
      <c r="K126" s="420"/>
      <c r="L126" s="420"/>
      <c r="M126" s="447"/>
      <c r="N126" s="447"/>
      <c r="O126" s="447"/>
      <c r="P126" s="447"/>
      <c r="Q126" s="447"/>
      <c r="R126" s="447"/>
      <c r="S126" s="447"/>
      <c r="T126" s="447"/>
      <c r="U126" s="447"/>
      <c r="V126" s="447"/>
      <c r="W126" s="447"/>
      <c r="X126" s="447"/>
      <c r="Y126" s="447"/>
      <c r="Z126" s="447"/>
      <c r="AA126" s="447"/>
      <c r="AB126" s="447"/>
      <c r="AC126" s="447"/>
      <c r="AD126" s="447"/>
      <c r="AE126" s="447"/>
      <c r="AF126" s="447"/>
      <c r="AG126" s="447"/>
      <c r="AH126" s="447"/>
      <c r="AI126" s="447"/>
      <c r="AJ126" s="447"/>
      <c r="AK126" s="447"/>
      <c r="AL126" s="447"/>
      <c r="AM126" s="447"/>
      <c r="AN126" s="447"/>
      <c r="AO126" s="447"/>
      <c r="AP126" s="447"/>
      <c r="AQ126" s="447"/>
      <c r="AR126" s="447"/>
      <c r="AS126" s="447"/>
      <c r="AT126" s="447"/>
      <c r="AU126" s="447"/>
      <c r="AV126" s="422" t="s">
        <v>309</v>
      </c>
      <c r="AW126" s="422" t="str">
        <f>AV126</f>
        <v>Phước Lý</v>
      </c>
      <c r="AX126" s="447"/>
      <c r="AY126" s="408"/>
      <c r="AZ126" s="448"/>
      <c r="BA126" s="449"/>
      <c r="BB126" s="422"/>
      <c r="BC126" s="450"/>
      <c r="BD126" s="450"/>
      <c r="BE126" s="450"/>
      <c r="BF126" s="450"/>
      <c r="BG126" s="450"/>
      <c r="BH126" s="447"/>
      <c r="BI126" s="422" t="s">
        <v>1859</v>
      </c>
      <c r="BJ126" s="429"/>
    </row>
    <row r="127" spans="1:62" s="430" customFormat="1" ht="42" customHeight="1">
      <c r="A127" s="444"/>
      <c r="B127" s="445" t="s">
        <v>1865</v>
      </c>
      <c r="C127" s="422" t="s">
        <v>42</v>
      </c>
      <c r="D127" s="446">
        <v>1</v>
      </c>
      <c r="E127" s="446"/>
      <c r="F127" s="446">
        <v>1</v>
      </c>
      <c r="G127" s="421"/>
      <c r="H127" s="420"/>
      <c r="I127" s="420"/>
      <c r="J127" s="420"/>
      <c r="K127" s="420"/>
      <c r="L127" s="420"/>
      <c r="M127" s="447"/>
      <c r="N127" s="447"/>
      <c r="O127" s="447"/>
      <c r="P127" s="447"/>
      <c r="Q127" s="447"/>
      <c r="R127" s="447"/>
      <c r="S127" s="447"/>
      <c r="T127" s="447"/>
      <c r="U127" s="447"/>
      <c r="V127" s="447"/>
      <c r="W127" s="447"/>
      <c r="X127" s="447"/>
      <c r="Y127" s="447"/>
      <c r="Z127" s="447"/>
      <c r="AA127" s="447"/>
      <c r="AB127" s="447"/>
      <c r="AC127" s="447"/>
      <c r="AD127" s="447"/>
      <c r="AE127" s="447"/>
      <c r="AF127" s="447"/>
      <c r="AG127" s="447"/>
      <c r="AH127" s="447"/>
      <c r="AI127" s="447"/>
      <c r="AJ127" s="447"/>
      <c r="AK127" s="447"/>
      <c r="AL127" s="447"/>
      <c r="AM127" s="447"/>
      <c r="AN127" s="447"/>
      <c r="AO127" s="447"/>
      <c r="AP127" s="447"/>
      <c r="AQ127" s="447"/>
      <c r="AR127" s="447"/>
      <c r="AS127" s="447"/>
      <c r="AT127" s="447"/>
      <c r="AU127" s="447"/>
      <c r="AV127" s="422" t="s">
        <v>309</v>
      </c>
      <c r="AW127" s="422"/>
      <c r="AX127" s="447"/>
      <c r="AY127" s="408"/>
      <c r="AZ127" s="448"/>
      <c r="BA127" s="449"/>
      <c r="BB127" s="422"/>
      <c r="BC127" s="450"/>
      <c r="BD127" s="450"/>
      <c r="BE127" s="450"/>
      <c r="BF127" s="450"/>
      <c r="BG127" s="450"/>
      <c r="BH127" s="447"/>
      <c r="BI127" s="422" t="s">
        <v>1859</v>
      </c>
      <c r="BJ127" s="429"/>
    </row>
    <row r="128" spans="1:62" s="430" customFormat="1" ht="42" customHeight="1">
      <c r="A128" s="444"/>
      <c r="B128" s="445" t="s">
        <v>1866</v>
      </c>
      <c r="C128" s="422" t="s">
        <v>42</v>
      </c>
      <c r="D128" s="446">
        <v>0.28000000000000003</v>
      </c>
      <c r="E128" s="446">
        <v>0.16</v>
      </c>
      <c r="F128" s="446">
        <v>0.12</v>
      </c>
      <c r="G128" s="421"/>
      <c r="H128" s="420"/>
      <c r="I128" s="420"/>
      <c r="J128" s="420"/>
      <c r="K128" s="420"/>
      <c r="L128" s="420"/>
      <c r="M128" s="447"/>
      <c r="N128" s="447"/>
      <c r="O128" s="447"/>
      <c r="P128" s="447"/>
      <c r="Q128" s="447"/>
      <c r="R128" s="447"/>
      <c r="S128" s="447"/>
      <c r="T128" s="447"/>
      <c r="U128" s="447"/>
      <c r="V128" s="447"/>
      <c r="W128" s="447"/>
      <c r="X128" s="447"/>
      <c r="Y128" s="447"/>
      <c r="Z128" s="447"/>
      <c r="AA128" s="447"/>
      <c r="AB128" s="447"/>
      <c r="AC128" s="447"/>
      <c r="AD128" s="447"/>
      <c r="AE128" s="447"/>
      <c r="AF128" s="447"/>
      <c r="AG128" s="447"/>
      <c r="AH128" s="447"/>
      <c r="AI128" s="447"/>
      <c r="AJ128" s="447"/>
      <c r="AK128" s="447"/>
      <c r="AL128" s="447"/>
      <c r="AM128" s="447"/>
      <c r="AN128" s="447"/>
      <c r="AO128" s="447"/>
      <c r="AP128" s="447"/>
      <c r="AQ128" s="447"/>
      <c r="AR128" s="447"/>
      <c r="AS128" s="447"/>
      <c r="AT128" s="447"/>
      <c r="AU128" s="447"/>
      <c r="AV128" s="422" t="s">
        <v>309</v>
      </c>
      <c r="AW128" s="422"/>
      <c r="AX128" s="447"/>
      <c r="AY128" s="408"/>
      <c r="AZ128" s="448"/>
      <c r="BA128" s="449"/>
      <c r="BB128" s="422"/>
      <c r="BC128" s="450"/>
      <c r="BD128" s="450"/>
      <c r="BE128" s="450"/>
      <c r="BF128" s="450"/>
      <c r="BG128" s="450"/>
      <c r="BH128" s="447"/>
      <c r="BI128" s="422" t="s">
        <v>1859</v>
      </c>
      <c r="BJ128" s="429"/>
    </row>
    <row r="129" spans="1:62" s="430" customFormat="1" ht="42" customHeight="1">
      <c r="A129" s="444"/>
      <c r="B129" s="445" t="s">
        <v>1867</v>
      </c>
      <c r="C129" s="422" t="s">
        <v>42</v>
      </c>
      <c r="D129" s="446">
        <v>0.3</v>
      </c>
      <c r="E129" s="446">
        <v>0.2</v>
      </c>
      <c r="F129" s="446">
        <v>0.1</v>
      </c>
      <c r="G129" s="421"/>
      <c r="H129" s="420"/>
      <c r="I129" s="420"/>
      <c r="J129" s="420"/>
      <c r="K129" s="420"/>
      <c r="L129" s="420"/>
      <c r="M129" s="447"/>
      <c r="N129" s="447"/>
      <c r="O129" s="447"/>
      <c r="P129" s="447"/>
      <c r="Q129" s="447"/>
      <c r="R129" s="447"/>
      <c r="S129" s="447"/>
      <c r="T129" s="447"/>
      <c r="U129" s="447"/>
      <c r="V129" s="447"/>
      <c r="W129" s="447"/>
      <c r="X129" s="447"/>
      <c r="Y129" s="447"/>
      <c r="Z129" s="447"/>
      <c r="AA129" s="447"/>
      <c r="AB129" s="447"/>
      <c r="AC129" s="447"/>
      <c r="AD129" s="447"/>
      <c r="AE129" s="447"/>
      <c r="AF129" s="447"/>
      <c r="AG129" s="447"/>
      <c r="AH129" s="447"/>
      <c r="AI129" s="447"/>
      <c r="AJ129" s="447"/>
      <c r="AK129" s="447"/>
      <c r="AL129" s="447"/>
      <c r="AM129" s="447"/>
      <c r="AN129" s="447"/>
      <c r="AO129" s="447"/>
      <c r="AP129" s="447"/>
      <c r="AQ129" s="447"/>
      <c r="AR129" s="447"/>
      <c r="AS129" s="447"/>
      <c r="AT129" s="447"/>
      <c r="AU129" s="447"/>
      <c r="AV129" s="422" t="s">
        <v>309</v>
      </c>
      <c r="AW129" s="422"/>
      <c r="AX129" s="447"/>
      <c r="AY129" s="408"/>
      <c r="AZ129" s="448"/>
      <c r="BA129" s="449"/>
      <c r="BB129" s="422"/>
      <c r="BC129" s="450"/>
      <c r="BD129" s="450"/>
      <c r="BE129" s="450"/>
      <c r="BF129" s="450"/>
      <c r="BG129" s="450"/>
      <c r="BH129" s="447"/>
      <c r="BI129" s="422" t="s">
        <v>1859</v>
      </c>
      <c r="BJ129" s="429"/>
    </row>
    <row r="130" spans="1:62" s="430" customFormat="1" ht="42" customHeight="1">
      <c r="A130" s="444"/>
      <c r="B130" s="445" t="s">
        <v>1868</v>
      </c>
      <c r="C130" s="422" t="s">
        <v>42</v>
      </c>
      <c r="D130" s="446">
        <v>1.05</v>
      </c>
      <c r="E130" s="446">
        <v>0.6</v>
      </c>
      <c r="F130" s="446">
        <v>0.45</v>
      </c>
      <c r="G130" s="421"/>
      <c r="H130" s="420"/>
      <c r="I130" s="420"/>
      <c r="J130" s="420"/>
      <c r="K130" s="420"/>
      <c r="L130" s="420"/>
      <c r="M130" s="447"/>
      <c r="N130" s="447"/>
      <c r="O130" s="447"/>
      <c r="P130" s="447"/>
      <c r="Q130" s="447"/>
      <c r="R130" s="447"/>
      <c r="S130" s="447"/>
      <c r="T130" s="447"/>
      <c r="U130" s="447"/>
      <c r="V130" s="447"/>
      <c r="W130" s="447"/>
      <c r="X130" s="447"/>
      <c r="Y130" s="447"/>
      <c r="Z130" s="447"/>
      <c r="AA130" s="447"/>
      <c r="AB130" s="447"/>
      <c r="AC130" s="447"/>
      <c r="AD130" s="447"/>
      <c r="AE130" s="447"/>
      <c r="AF130" s="447"/>
      <c r="AG130" s="447"/>
      <c r="AH130" s="447"/>
      <c r="AI130" s="447"/>
      <c r="AJ130" s="447"/>
      <c r="AK130" s="447"/>
      <c r="AL130" s="447"/>
      <c r="AM130" s="447"/>
      <c r="AN130" s="447"/>
      <c r="AO130" s="447"/>
      <c r="AP130" s="447"/>
      <c r="AQ130" s="447"/>
      <c r="AR130" s="447"/>
      <c r="AS130" s="447"/>
      <c r="AT130" s="447"/>
      <c r="AU130" s="447"/>
      <c r="AV130" s="422" t="s">
        <v>309</v>
      </c>
      <c r="AW130" s="422"/>
      <c r="AX130" s="447"/>
      <c r="AY130" s="408"/>
      <c r="AZ130" s="448"/>
      <c r="BA130" s="449"/>
      <c r="BB130" s="422"/>
      <c r="BC130" s="450"/>
      <c r="BD130" s="450"/>
      <c r="BE130" s="450"/>
      <c r="BF130" s="450"/>
      <c r="BG130" s="450"/>
      <c r="BH130" s="447"/>
      <c r="BI130" s="422" t="s">
        <v>1859</v>
      </c>
      <c r="BJ130" s="429"/>
    </row>
    <row r="131" spans="1:62" s="430" customFormat="1" ht="42" customHeight="1">
      <c r="A131" s="444"/>
      <c r="B131" s="445" t="s">
        <v>1869</v>
      </c>
      <c r="C131" s="422" t="s">
        <v>42</v>
      </c>
      <c r="D131" s="446">
        <v>0.38</v>
      </c>
      <c r="E131" s="446"/>
      <c r="F131" s="446">
        <v>0.38</v>
      </c>
      <c r="G131" s="421"/>
      <c r="H131" s="420"/>
      <c r="I131" s="420"/>
      <c r="J131" s="420"/>
      <c r="K131" s="420"/>
      <c r="L131" s="420"/>
      <c r="M131" s="447"/>
      <c r="N131" s="447"/>
      <c r="O131" s="447"/>
      <c r="P131" s="447"/>
      <c r="Q131" s="447"/>
      <c r="R131" s="447"/>
      <c r="S131" s="447"/>
      <c r="T131" s="447"/>
      <c r="U131" s="447"/>
      <c r="V131" s="447"/>
      <c r="W131" s="447"/>
      <c r="X131" s="447"/>
      <c r="Y131" s="447"/>
      <c r="Z131" s="447"/>
      <c r="AA131" s="447"/>
      <c r="AB131" s="447"/>
      <c r="AC131" s="447"/>
      <c r="AD131" s="447"/>
      <c r="AE131" s="447"/>
      <c r="AF131" s="447"/>
      <c r="AG131" s="447"/>
      <c r="AH131" s="447"/>
      <c r="AI131" s="447"/>
      <c r="AJ131" s="447"/>
      <c r="AK131" s="447"/>
      <c r="AL131" s="447"/>
      <c r="AM131" s="447"/>
      <c r="AN131" s="447"/>
      <c r="AO131" s="447"/>
      <c r="AP131" s="447"/>
      <c r="AQ131" s="447"/>
      <c r="AR131" s="447"/>
      <c r="AS131" s="447"/>
      <c r="AT131" s="447"/>
      <c r="AU131" s="447"/>
      <c r="AV131" s="422" t="s">
        <v>283</v>
      </c>
      <c r="AW131" s="422"/>
      <c r="AX131" s="447"/>
      <c r="AY131" s="408"/>
      <c r="AZ131" s="448"/>
      <c r="BA131" s="449"/>
      <c r="BB131" s="422"/>
      <c r="BC131" s="450"/>
      <c r="BD131" s="450"/>
      <c r="BE131" s="450"/>
      <c r="BF131" s="450"/>
      <c r="BG131" s="450"/>
      <c r="BH131" s="447"/>
      <c r="BI131" s="422" t="s">
        <v>1859</v>
      </c>
      <c r="BJ131" s="429"/>
    </row>
    <row r="132" spans="1:62" s="430" customFormat="1" ht="87.5" customHeight="1">
      <c r="A132" s="444"/>
      <c r="B132" s="445" t="s">
        <v>1870</v>
      </c>
      <c r="C132" s="422" t="s">
        <v>42</v>
      </c>
      <c r="D132" s="446"/>
      <c r="E132" s="446"/>
      <c r="F132" s="446"/>
      <c r="G132" s="421"/>
      <c r="H132" s="420"/>
      <c r="I132" s="420"/>
      <c r="J132" s="420"/>
      <c r="K132" s="420"/>
      <c r="L132" s="420"/>
      <c r="M132" s="447"/>
      <c r="N132" s="447"/>
      <c r="O132" s="447"/>
      <c r="P132" s="447"/>
      <c r="Q132" s="447"/>
      <c r="R132" s="447"/>
      <c r="S132" s="447"/>
      <c r="T132" s="447"/>
      <c r="U132" s="447"/>
      <c r="V132" s="447"/>
      <c r="W132" s="447"/>
      <c r="X132" s="447"/>
      <c r="Y132" s="447"/>
      <c r="Z132" s="447"/>
      <c r="AA132" s="447"/>
      <c r="AB132" s="447"/>
      <c r="AC132" s="447"/>
      <c r="AD132" s="447"/>
      <c r="AE132" s="447"/>
      <c r="AF132" s="447"/>
      <c r="AG132" s="447"/>
      <c r="AH132" s="447"/>
      <c r="AI132" s="447"/>
      <c r="AJ132" s="447"/>
      <c r="AK132" s="447"/>
      <c r="AL132" s="447"/>
      <c r="AM132" s="447"/>
      <c r="AN132" s="447"/>
      <c r="AO132" s="447"/>
      <c r="AP132" s="447"/>
      <c r="AQ132" s="447"/>
      <c r="AR132" s="447"/>
      <c r="AS132" s="447"/>
      <c r="AT132" s="447"/>
      <c r="AU132" s="447"/>
      <c r="AV132" s="422" t="s">
        <v>283</v>
      </c>
      <c r="AW132" s="422"/>
      <c r="AX132" s="447" t="s">
        <v>1871</v>
      </c>
      <c r="AY132" s="408"/>
      <c r="AZ132" s="448"/>
      <c r="BA132" s="449"/>
      <c r="BB132" s="422"/>
      <c r="BC132" s="450"/>
      <c r="BD132" s="450"/>
      <c r="BE132" s="450"/>
      <c r="BF132" s="450"/>
      <c r="BG132" s="450"/>
      <c r="BH132" s="447"/>
      <c r="BI132" s="422" t="s">
        <v>1872</v>
      </c>
      <c r="BJ132" s="429"/>
    </row>
    <row r="133" spans="1:62" s="430" customFormat="1" ht="42" customHeight="1">
      <c r="A133" s="444"/>
      <c r="B133" s="445" t="s">
        <v>1873</v>
      </c>
      <c r="C133" s="422" t="s">
        <v>42</v>
      </c>
      <c r="D133" s="446">
        <v>0.15</v>
      </c>
      <c r="E133" s="446"/>
      <c r="F133" s="446">
        <v>0.15</v>
      </c>
      <c r="G133" s="421"/>
      <c r="H133" s="420"/>
      <c r="I133" s="420"/>
      <c r="J133" s="420"/>
      <c r="K133" s="420"/>
      <c r="L133" s="420"/>
      <c r="M133" s="447"/>
      <c r="N133" s="447"/>
      <c r="O133" s="447"/>
      <c r="P133" s="447"/>
      <c r="Q133" s="447"/>
      <c r="R133" s="447"/>
      <c r="S133" s="447"/>
      <c r="T133" s="447"/>
      <c r="U133" s="447"/>
      <c r="V133" s="447"/>
      <c r="W133" s="447"/>
      <c r="X133" s="447"/>
      <c r="Y133" s="447"/>
      <c r="Z133" s="447"/>
      <c r="AA133" s="447"/>
      <c r="AB133" s="447"/>
      <c r="AC133" s="447"/>
      <c r="AD133" s="447"/>
      <c r="AE133" s="447"/>
      <c r="AF133" s="447"/>
      <c r="AG133" s="447"/>
      <c r="AH133" s="447"/>
      <c r="AI133" s="447"/>
      <c r="AJ133" s="447"/>
      <c r="AK133" s="447"/>
      <c r="AL133" s="447"/>
      <c r="AM133" s="447"/>
      <c r="AN133" s="447"/>
      <c r="AO133" s="447"/>
      <c r="AP133" s="447"/>
      <c r="AQ133" s="447"/>
      <c r="AR133" s="447"/>
      <c r="AS133" s="447"/>
      <c r="AT133" s="447"/>
      <c r="AU133" s="447"/>
      <c r="AV133" s="422" t="s">
        <v>289</v>
      </c>
      <c r="AW133" s="422"/>
      <c r="AX133" s="447"/>
      <c r="AY133" s="408"/>
      <c r="AZ133" s="448"/>
      <c r="BA133" s="449"/>
      <c r="BB133" s="422"/>
      <c r="BC133" s="450"/>
      <c r="BD133" s="450"/>
      <c r="BE133" s="450"/>
      <c r="BF133" s="450"/>
      <c r="BG133" s="450"/>
      <c r="BH133" s="447"/>
      <c r="BI133" s="429" t="s">
        <v>1859</v>
      </c>
      <c r="BJ133" s="429"/>
    </row>
    <row r="134" spans="1:62" s="430" customFormat="1" ht="42" customHeight="1">
      <c r="A134" s="444"/>
      <c r="B134" s="445" t="s">
        <v>1874</v>
      </c>
      <c r="C134" s="422" t="s">
        <v>42</v>
      </c>
      <c r="D134" s="446">
        <v>0.25</v>
      </c>
      <c r="E134" s="446"/>
      <c r="F134" s="446">
        <v>0.25</v>
      </c>
      <c r="G134" s="421"/>
      <c r="H134" s="420"/>
      <c r="I134" s="420"/>
      <c r="J134" s="420"/>
      <c r="K134" s="420"/>
      <c r="L134" s="420"/>
      <c r="M134" s="447"/>
      <c r="N134" s="447"/>
      <c r="O134" s="447"/>
      <c r="P134" s="447"/>
      <c r="Q134" s="447"/>
      <c r="R134" s="447"/>
      <c r="S134" s="447"/>
      <c r="T134" s="447"/>
      <c r="U134" s="447"/>
      <c r="V134" s="447"/>
      <c r="W134" s="447"/>
      <c r="X134" s="447"/>
      <c r="Y134" s="447"/>
      <c r="Z134" s="447"/>
      <c r="AA134" s="447"/>
      <c r="AB134" s="447"/>
      <c r="AC134" s="447"/>
      <c r="AD134" s="447"/>
      <c r="AE134" s="447"/>
      <c r="AF134" s="447"/>
      <c r="AG134" s="447"/>
      <c r="AH134" s="447"/>
      <c r="AI134" s="447"/>
      <c r="AJ134" s="447"/>
      <c r="AK134" s="447"/>
      <c r="AL134" s="447"/>
      <c r="AM134" s="447"/>
      <c r="AN134" s="447"/>
      <c r="AO134" s="447"/>
      <c r="AP134" s="447"/>
      <c r="AQ134" s="447"/>
      <c r="AR134" s="447"/>
      <c r="AS134" s="447"/>
      <c r="AT134" s="447"/>
      <c r="AU134" s="447"/>
      <c r="AV134" s="422" t="s">
        <v>258</v>
      </c>
      <c r="AW134" s="422" t="s">
        <v>1875</v>
      </c>
      <c r="AX134" s="447"/>
      <c r="AY134" s="408"/>
      <c r="AZ134" s="448"/>
      <c r="BA134" s="449"/>
      <c r="BB134" s="422"/>
      <c r="BC134" s="450"/>
      <c r="BD134" s="450"/>
      <c r="BE134" s="450"/>
      <c r="BF134" s="450"/>
      <c r="BG134" s="450"/>
      <c r="BH134" s="447"/>
      <c r="BI134" s="429" t="s">
        <v>1859</v>
      </c>
      <c r="BJ134" s="429"/>
    </row>
    <row r="135" spans="1:62" s="430" customFormat="1" ht="42" customHeight="1">
      <c r="A135" s="444"/>
      <c r="B135" s="445" t="s">
        <v>1876</v>
      </c>
      <c r="C135" s="422" t="s">
        <v>42</v>
      </c>
      <c r="D135" s="446">
        <v>0.3</v>
      </c>
      <c r="E135" s="446"/>
      <c r="F135" s="446">
        <v>0.3</v>
      </c>
      <c r="G135" s="421"/>
      <c r="H135" s="420"/>
      <c r="I135" s="420"/>
      <c r="J135" s="420"/>
      <c r="K135" s="420"/>
      <c r="L135" s="420"/>
      <c r="M135" s="447"/>
      <c r="N135" s="447"/>
      <c r="O135" s="447"/>
      <c r="P135" s="447"/>
      <c r="Q135" s="447"/>
      <c r="R135" s="447"/>
      <c r="S135" s="447"/>
      <c r="T135" s="447"/>
      <c r="U135" s="447"/>
      <c r="V135" s="447"/>
      <c r="W135" s="447"/>
      <c r="X135" s="447"/>
      <c r="Y135" s="447"/>
      <c r="Z135" s="447"/>
      <c r="AA135" s="447"/>
      <c r="AB135" s="447"/>
      <c r="AC135" s="447"/>
      <c r="AD135" s="447"/>
      <c r="AE135" s="447"/>
      <c r="AF135" s="447"/>
      <c r="AG135" s="447"/>
      <c r="AH135" s="447"/>
      <c r="AI135" s="447"/>
      <c r="AJ135" s="447"/>
      <c r="AK135" s="447"/>
      <c r="AL135" s="447"/>
      <c r="AM135" s="447"/>
      <c r="AN135" s="447"/>
      <c r="AO135" s="447"/>
      <c r="AP135" s="447"/>
      <c r="AQ135" s="447"/>
      <c r="AR135" s="447"/>
      <c r="AS135" s="447"/>
      <c r="AT135" s="447"/>
      <c r="AU135" s="447"/>
      <c r="AV135" s="422" t="s">
        <v>258</v>
      </c>
      <c r="AW135" s="422" t="s">
        <v>1877</v>
      </c>
      <c r="AX135" s="447"/>
      <c r="AY135" s="408"/>
      <c r="AZ135" s="448"/>
      <c r="BA135" s="449"/>
      <c r="BB135" s="422"/>
      <c r="BC135" s="450"/>
      <c r="BD135" s="450"/>
      <c r="BE135" s="450"/>
      <c r="BF135" s="450"/>
      <c r="BG135" s="450"/>
      <c r="BH135" s="447"/>
      <c r="BI135" s="429" t="s">
        <v>1859</v>
      </c>
      <c r="BJ135" s="429"/>
    </row>
    <row r="136" spans="1:62" s="430" customFormat="1" ht="42" customHeight="1">
      <c r="A136" s="444"/>
      <c r="B136" s="445" t="s">
        <v>1878</v>
      </c>
      <c r="C136" s="422" t="s">
        <v>42</v>
      </c>
      <c r="D136" s="446">
        <v>25.9</v>
      </c>
      <c r="E136" s="446"/>
      <c r="F136" s="446">
        <v>25.9</v>
      </c>
      <c r="G136" s="421"/>
      <c r="H136" s="420"/>
      <c r="I136" s="420"/>
      <c r="J136" s="420"/>
      <c r="K136" s="420"/>
      <c r="L136" s="420"/>
      <c r="M136" s="447"/>
      <c r="N136" s="447"/>
      <c r="O136" s="447"/>
      <c r="P136" s="447"/>
      <c r="Q136" s="447"/>
      <c r="R136" s="447"/>
      <c r="S136" s="447"/>
      <c r="T136" s="447"/>
      <c r="U136" s="447"/>
      <c r="V136" s="447"/>
      <c r="W136" s="447"/>
      <c r="X136" s="447"/>
      <c r="Y136" s="447"/>
      <c r="Z136" s="447"/>
      <c r="AA136" s="447"/>
      <c r="AB136" s="447"/>
      <c r="AC136" s="447"/>
      <c r="AD136" s="447"/>
      <c r="AE136" s="447"/>
      <c r="AF136" s="447"/>
      <c r="AG136" s="447"/>
      <c r="AH136" s="447"/>
      <c r="AI136" s="447"/>
      <c r="AJ136" s="447"/>
      <c r="AK136" s="447"/>
      <c r="AL136" s="447"/>
      <c r="AM136" s="447"/>
      <c r="AN136" s="447"/>
      <c r="AO136" s="447"/>
      <c r="AP136" s="447"/>
      <c r="AQ136" s="447"/>
      <c r="AR136" s="447"/>
      <c r="AS136" s="447"/>
      <c r="AT136" s="447"/>
      <c r="AU136" s="447"/>
      <c r="AV136" s="422" t="s">
        <v>300</v>
      </c>
      <c r="AW136" s="422"/>
      <c r="AX136" s="447"/>
      <c r="AY136" s="408"/>
      <c r="AZ136" s="448"/>
      <c r="BA136" s="449"/>
      <c r="BB136" s="422"/>
      <c r="BC136" s="450"/>
      <c r="BD136" s="450"/>
      <c r="BE136" s="450"/>
      <c r="BF136" s="450"/>
      <c r="BG136" s="450"/>
      <c r="BH136" s="447"/>
      <c r="BI136" s="429" t="s">
        <v>1859</v>
      </c>
      <c r="BJ136" s="429"/>
    </row>
    <row r="137" spans="1:62" s="430" customFormat="1" ht="42" customHeight="1">
      <c r="A137" s="444"/>
      <c r="B137" s="445" t="s">
        <v>1879</v>
      </c>
      <c r="C137" s="422" t="s">
        <v>42</v>
      </c>
      <c r="D137" s="446">
        <v>16.100000000000001</v>
      </c>
      <c r="E137" s="446"/>
      <c r="F137" s="446">
        <v>16.100000000000001</v>
      </c>
      <c r="G137" s="421"/>
      <c r="H137" s="420"/>
      <c r="I137" s="420"/>
      <c r="J137" s="420"/>
      <c r="K137" s="420"/>
      <c r="L137" s="420"/>
      <c r="M137" s="447"/>
      <c r="N137" s="447"/>
      <c r="O137" s="447"/>
      <c r="P137" s="447"/>
      <c r="Q137" s="447"/>
      <c r="R137" s="447"/>
      <c r="S137" s="447"/>
      <c r="T137" s="447"/>
      <c r="U137" s="447"/>
      <c r="V137" s="447"/>
      <c r="W137" s="447"/>
      <c r="X137" s="447"/>
      <c r="Y137" s="447"/>
      <c r="Z137" s="447"/>
      <c r="AA137" s="447"/>
      <c r="AB137" s="447"/>
      <c r="AC137" s="447"/>
      <c r="AD137" s="447"/>
      <c r="AE137" s="447"/>
      <c r="AF137" s="447"/>
      <c r="AG137" s="447"/>
      <c r="AH137" s="447"/>
      <c r="AI137" s="447"/>
      <c r="AJ137" s="447"/>
      <c r="AK137" s="447"/>
      <c r="AL137" s="447"/>
      <c r="AM137" s="447"/>
      <c r="AN137" s="447"/>
      <c r="AO137" s="447"/>
      <c r="AP137" s="447"/>
      <c r="AQ137" s="447"/>
      <c r="AR137" s="447"/>
      <c r="AS137" s="447"/>
      <c r="AT137" s="447"/>
      <c r="AU137" s="447"/>
      <c r="AV137" s="422" t="s">
        <v>300</v>
      </c>
      <c r="AW137" s="422"/>
      <c r="AX137" s="447"/>
      <c r="AY137" s="408"/>
      <c r="AZ137" s="448"/>
      <c r="BA137" s="449"/>
      <c r="BB137" s="422"/>
      <c r="BC137" s="450"/>
      <c r="BD137" s="450"/>
      <c r="BE137" s="450"/>
      <c r="BF137" s="450"/>
      <c r="BG137" s="450"/>
      <c r="BH137" s="447"/>
      <c r="BI137" s="429" t="s">
        <v>1859</v>
      </c>
      <c r="BJ137" s="429"/>
    </row>
    <row r="138" spans="1:62" s="430" customFormat="1" ht="42" customHeight="1">
      <c r="A138" s="444"/>
      <c r="B138" s="445" t="s">
        <v>1880</v>
      </c>
      <c r="C138" s="422" t="s">
        <v>42</v>
      </c>
      <c r="D138" s="446">
        <v>1.3</v>
      </c>
      <c r="E138" s="446"/>
      <c r="F138" s="446">
        <v>1.3</v>
      </c>
      <c r="G138" s="421"/>
      <c r="H138" s="420"/>
      <c r="I138" s="420"/>
      <c r="J138" s="420"/>
      <c r="K138" s="420"/>
      <c r="L138" s="420"/>
      <c r="M138" s="447"/>
      <c r="N138" s="447"/>
      <c r="O138" s="447"/>
      <c r="P138" s="447"/>
      <c r="Q138" s="447"/>
      <c r="R138" s="447"/>
      <c r="S138" s="447"/>
      <c r="T138" s="447"/>
      <c r="U138" s="447"/>
      <c r="V138" s="447"/>
      <c r="W138" s="447"/>
      <c r="X138" s="447"/>
      <c r="Y138" s="447"/>
      <c r="Z138" s="447"/>
      <c r="AA138" s="447"/>
      <c r="AB138" s="447"/>
      <c r="AC138" s="447"/>
      <c r="AD138" s="447"/>
      <c r="AE138" s="447"/>
      <c r="AF138" s="447"/>
      <c r="AG138" s="447"/>
      <c r="AH138" s="447"/>
      <c r="AI138" s="447"/>
      <c r="AJ138" s="447"/>
      <c r="AK138" s="447"/>
      <c r="AL138" s="447"/>
      <c r="AM138" s="447"/>
      <c r="AN138" s="447"/>
      <c r="AO138" s="447"/>
      <c r="AP138" s="447"/>
      <c r="AQ138" s="447"/>
      <c r="AR138" s="447"/>
      <c r="AS138" s="447"/>
      <c r="AT138" s="447"/>
      <c r="AU138" s="447"/>
      <c r="AV138" s="422" t="s">
        <v>300</v>
      </c>
      <c r="AW138" s="422"/>
      <c r="AX138" s="447"/>
      <c r="AY138" s="408"/>
      <c r="AZ138" s="448"/>
      <c r="BA138" s="449"/>
      <c r="BB138" s="422"/>
      <c r="BC138" s="450"/>
      <c r="BD138" s="450"/>
      <c r="BE138" s="450"/>
      <c r="BF138" s="450"/>
      <c r="BG138" s="450"/>
      <c r="BH138" s="447"/>
      <c r="BI138" s="429" t="s">
        <v>1859</v>
      </c>
      <c r="BJ138" s="429"/>
    </row>
    <row r="139" spans="1:62" s="430" customFormat="1" ht="42" customHeight="1">
      <c r="A139" s="444"/>
      <c r="B139" s="445" t="s">
        <v>1881</v>
      </c>
      <c r="C139" s="422" t="s">
        <v>42</v>
      </c>
      <c r="D139" s="446">
        <v>0.1</v>
      </c>
      <c r="E139" s="446"/>
      <c r="F139" s="446">
        <v>0.1</v>
      </c>
      <c r="G139" s="421"/>
      <c r="H139" s="420"/>
      <c r="I139" s="420"/>
      <c r="J139" s="420"/>
      <c r="K139" s="420"/>
      <c r="L139" s="420"/>
      <c r="M139" s="447"/>
      <c r="N139" s="447"/>
      <c r="O139" s="447"/>
      <c r="P139" s="447"/>
      <c r="Q139" s="447"/>
      <c r="R139" s="447"/>
      <c r="S139" s="447"/>
      <c r="T139" s="447"/>
      <c r="U139" s="447"/>
      <c r="V139" s="447"/>
      <c r="W139" s="447"/>
      <c r="X139" s="447"/>
      <c r="Y139" s="447"/>
      <c r="Z139" s="447"/>
      <c r="AA139" s="447"/>
      <c r="AB139" s="447"/>
      <c r="AC139" s="447"/>
      <c r="AD139" s="447"/>
      <c r="AE139" s="447"/>
      <c r="AF139" s="447"/>
      <c r="AG139" s="447"/>
      <c r="AH139" s="447"/>
      <c r="AI139" s="447"/>
      <c r="AJ139" s="447"/>
      <c r="AK139" s="447"/>
      <c r="AL139" s="447"/>
      <c r="AM139" s="447"/>
      <c r="AN139" s="447"/>
      <c r="AO139" s="447"/>
      <c r="AP139" s="447"/>
      <c r="AQ139" s="447"/>
      <c r="AR139" s="447"/>
      <c r="AS139" s="447"/>
      <c r="AT139" s="447"/>
      <c r="AU139" s="447"/>
      <c r="AV139" s="422" t="s">
        <v>300</v>
      </c>
      <c r="AW139" s="422"/>
      <c r="AX139" s="447"/>
      <c r="AY139" s="408"/>
      <c r="AZ139" s="448"/>
      <c r="BA139" s="449"/>
      <c r="BB139" s="422"/>
      <c r="BC139" s="450"/>
      <c r="BD139" s="450"/>
      <c r="BE139" s="450"/>
      <c r="BF139" s="450"/>
      <c r="BG139" s="450"/>
      <c r="BH139" s="447"/>
      <c r="BI139" s="429" t="s">
        <v>1859</v>
      </c>
      <c r="BJ139" s="429"/>
    </row>
    <row r="140" spans="1:62" s="430" customFormat="1" ht="42" customHeight="1">
      <c r="A140" s="444"/>
      <c r="B140" s="445" t="s">
        <v>1882</v>
      </c>
      <c r="C140" s="422" t="s">
        <v>42</v>
      </c>
      <c r="D140" s="446">
        <v>0.2</v>
      </c>
      <c r="E140" s="446"/>
      <c r="F140" s="446">
        <v>0.2</v>
      </c>
      <c r="G140" s="421"/>
      <c r="H140" s="420"/>
      <c r="I140" s="420"/>
      <c r="J140" s="420"/>
      <c r="K140" s="420"/>
      <c r="L140" s="420"/>
      <c r="M140" s="447"/>
      <c r="N140" s="447"/>
      <c r="O140" s="447"/>
      <c r="P140" s="447"/>
      <c r="Q140" s="447"/>
      <c r="R140" s="447"/>
      <c r="S140" s="447"/>
      <c r="T140" s="447"/>
      <c r="U140" s="447"/>
      <c r="V140" s="447"/>
      <c r="W140" s="447"/>
      <c r="X140" s="447"/>
      <c r="Y140" s="447"/>
      <c r="Z140" s="447"/>
      <c r="AA140" s="447"/>
      <c r="AB140" s="447"/>
      <c r="AC140" s="447"/>
      <c r="AD140" s="447"/>
      <c r="AE140" s="447"/>
      <c r="AF140" s="447"/>
      <c r="AG140" s="447"/>
      <c r="AH140" s="447"/>
      <c r="AI140" s="447"/>
      <c r="AJ140" s="447"/>
      <c r="AK140" s="447"/>
      <c r="AL140" s="447"/>
      <c r="AM140" s="447"/>
      <c r="AN140" s="447"/>
      <c r="AO140" s="447"/>
      <c r="AP140" s="447"/>
      <c r="AQ140" s="447"/>
      <c r="AR140" s="447"/>
      <c r="AS140" s="447"/>
      <c r="AT140" s="447"/>
      <c r="AU140" s="447"/>
      <c r="AV140" s="422" t="s">
        <v>300</v>
      </c>
      <c r="AW140" s="422"/>
      <c r="AX140" s="447"/>
      <c r="AY140" s="408"/>
      <c r="AZ140" s="448"/>
      <c r="BA140" s="449"/>
      <c r="BB140" s="422"/>
      <c r="BC140" s="450"/>
      <c r="BD140" s="450"/>
      <c r="BE140" s="450"/>
      <c r="BF140" s="450"/>
      <c r="BG140" s="450"/>
      <c r="BH140" s="447"/>
      <c r="BI140" s="429" t="s">
        <v>1859</v>
      </c>
      <c r="BJ140" s="429"/>
    </row>
    <row r="141" spans="1:62" s="430" customFormat="1" ht="42" customHeight="1">
      <c r="A141" s="444"/>
      <c r="B141" s="445" t="s">
        <v>1883</v>
      </c>
      <c r="C141" s="422" t="s">
        <v>42</v>
      </c>
      <c r="D141" s="446">
        <v>0.25</v>
      </c>
      <c r="E141" s="446"/>
      <c r="F141" s="446">
        <v>0.25</v>
      </c>
      <c r="G141" s="421"/>
      <c r="H141" s="420"/>
      <c r="I141" s="420"/>
      <c r="J141" s="420"/>
      <c r="K141" s="420"/>
      <c r="L141" s="420"/>
      <c r="M141" s="447"/>
      <c r="N141" s="447"/>
      <c r="O141" s="447"/>
      <c r="P141" s="447"/>
      <c r="Q141" s="447"/>
      <c r="R141" s="447"/>
      <c r="S141" s="447"/>
      <c r="T141" s="447"/>
      <c r="U141" s="447"/>
      <c r="V141" s="447"/>
      <c r="W141" s="447"/>
      <c r="X141" s="447"/>
      <c r="Y141" s="447"/>
      <c r="Z141" s="447"/>
      <c r="AA141" s="447"/>
      <c r="AB141" s="447"/>
      <c r="AC141" s="447"/>
      <c r="AD141" s="447"/>
      <c r="AE141" s="447"/>
      <c r="AF141" s="447"/>
      <c r="AG141" s="447"/>
      <c r="AH141" s="447"/>
      <c r="AI141" s="447"/>
      <c r="AJ141" s="447"/>
      <c r="AK141" s="447"/>
      <c r="AL141" s="447"/>
      <c r="AM141" s="447"/>
      <c r="AN141" s="447"/>
      <c r="AO141" s="447"/>
      <c r="AP141" s="447"/>
      <c r="AQ141" s="447"/>
      <c r="AR141" s="447"/>
      <c r="AS141" s="447"/>
      <c r="AT141" s="447"/>
      <c r="AU141" s="447"/>
      <c r="AV141" s="422" t="s">
        <v>370</v>
      </c>
      <c r="AW141" s="422" t="s">
        <v>1884</v>
      </c>
      <c r="AX141" s="447"/>
      <c r="AY141" s="408"/>
      <c r="AZ141" s="448"/>
      <c r="BA141" s="449"/>
      <c r="BB141" s="422"/>
      <c r="BC141" s="450"/>
      <c r="BD141" s="450"/>
      <c r="BE141" s="450"/>
      <c r="BF141" s="450"/>
      <c r="BG141" s="450"/>
      <c r="BH141" s="447"/>
      <c r="BI141" s="429" t="s">
        <v>1859</v>
      </c>
      <c r="BJ141" s="429"/>
    </row>
    <row r="142" spans="1:62" s="430" customFormat="1" ht="42" customHeight="1">
      <c r="A142" s="444"/>
      <c r="B142" s="445" t="s">
        <v>1885</v>
      </c>
      <c r="C142" s="422" t="s">
        <v>42</v>
      </c>
      <c r="D142" s="446">
        <v>0.2</v>
      </c>
      <c r="E142" s="446"/>
      <c r="F142" s="446">
        <v>0.2</v>
      </c>
      <c r="G142" s="421"/>
      <c r="H142" s="420"/>
      <c r="I142" s="420"/>
      <c r="J142" s="420"/>
      <c r="K142" s="420"/>
      <c r="L142" s="420"/>
      <c r="M142" s="447"/>
      <c r="N142" s="447"/>
      <c r="O142" s="447"/>
      <c r="P142" s="447"/>
      <c r="Q142" s="447"/>
      <c r="R142" s="447"/>
      <c r="S142" s="447"/>
      <c r="T142" s="447"/>
      <c r="U142" s="447"/>
      <c r="V142" s="447"/>
      <c r="W142" s="447"/>
      <c r="X142" s="447"/>
      <c r="Y142" s="447"/>
      <c r="Z142" s="447"/>
      <c r="AA142" s="447"/>
      <c r="AB142" s="447"/>
      <c r="AC142" s="447"/>
      <c r="AD142" s="447"/>
      <c r="AE142" s="447"/>
      <c r="AF142" s="447"/>
      <c r="AG142" s="447"/>
      <c r="AH142" s="447"/>
      <c r="AI142" s="447"/>
      <c r="AJ142" s="447"/>
      <c r="AK142" s="447"/>
      <c r="AL142" s="447"/>
      <c r="AM142" s="447"/>
      <c r="AN142" s="447"/>
      <c r="AO142" s="447"/>
      <c r="AP142" s="447"/>
      <c r="AQ142" s="447"/>
      <c r="AR142" s="447"/>
      <c r="AS142" s="447"/>
      <c r="AT142" s="447"/>
      <c r="AU142" s="447"/>
      <c r="AV142" s="422" t="s">
        <v>370</v>
      </c>
      <c r="AW142" s="422"/>
      <c r="AX142" s="447"/>
      <c r="AY142" s="408"/>
      <c r="AZ142" s="448"/>
      <c r="BA142" s="449"/>
      <c r="BB142" s="422"/>
      <c r="BC142" s="450"/>
      <c r="BD142" s="450"/>
      <c r="BE142" s="450"/>
      <c r="BF142" s="450"/>
      <c r="BG142" s="450"/>
      <c r="BH142" s="447"/>
      <c r="BI142" s="429" t="s">
        <v>1859</v>
      </c>
      <c r="BJ142" s="429"/>
    </row>
    <row r="143" spans="1:62" s="430" customFormat="1" ht="42" customHeight="1">
      <c r="A143" s="444"/>
      <c r="B143" s="445" t="s">
        <v>1886</v>
      </c>
      <c r="C143" s="422" t="s">
        <v>42</v>
      </c>
      <c r="D143" s="446">
        <v>0.59</v>
      </c>
      <c r="E143" s="446"/>
      <c r="F143" s="446">
        <v>0.59</v>
      </c>
      <c r="G143" s="421"/>
      <c r="H143" s="420"/>
      <c r="I143" s="420"/>
      <c r="J143" s="420"/>
      <c r="K143" s="420"/>
      <c r="L143" s="420"/>
      <c r="M143" s="447"/>
      <c r="N143" s="447"/>
      <c r="O143" s="447"/>
      <c r="P143" s="447"/>
      <c r="Q143" s="447"/>
      <c r="R143" s="447"/>
      <c r="S143" s="447"/>
      <c r="T143" s="447"/>
      <c r="U143" s="447"/>
      <c r="V143" s="447"/>
      <c r="W143" s="447"/>
      <c r="X143" s="447"/>
      <c r="Y143" s="447"/>
      <c r="Z143" s="447"/>
      <c r="AA143" s="447"/>
      <c r="AB143" s="447"/>
      <c r="AC143" s="447"/>
      <c r="AD143" s="447"/>
      <c r="AE143" s="447"/>
      <c r="AF143" s="447"/>
      <c r="AG143" s="447"/>
      <c r="AH143" s="447"/>
      <c r="AI143" s="447"/>
      <c r="AJ143" s="447"/>
      <c r="AK143" s="447"/>
      <c r="AL143" s="447"/>
      <c r="AM143" s="447"/>
      <c r="AN143" s="447"/>
      <c r="AO143" s="447"/>
      <c r="AP143" s="447"/>
      <c r="AQ143" s="447"/>
      <c r="AR143" s="447"/>
      <c r="AS143" s="447"/>
      <c r="AT143" s="447"/>
      <c r="AU143" s="447"/>
      <c r="AV143" s="422" t="s">
        <v>370</v>
      </c>
      <c r="AW143" s="422" t="s">
        <v>1887</v>
      </c>
      <c r="AX143" s="447"/>
      <c r="AY143" s="408"/>
      <c r="AZ143" s="448"/>
      <c r="BA143" s="449"/>
      <c r="BB143" s="422"/>
      <c r="BC143" s="450"/>
      <c r="BD143" s="450"/>
      <c r="BE143" s="450"/>
      <c r="BF143" s="450"/>
      <c r="BG143" s="450"/>
      <c r="BH143" s="447"/>
      <c r="BI143" s="429" t="s">
        <v>1859</v>
      </c>
      <c r="BJ143" s="429"/>
    </row>
    <row r="144" spans="1:62" s="430" customFormat="1" ht="42" customHeight="1">
      <c r="A144" s="444"/>
      <c r="B144" s="445" t="s">
        <v>1888</v>
      </c>
      <c r="C144" s="422" t="s">
        <v>42</v>
      </c>
      <c r="D144" s="446"/>
      <c r="E144" s="446"/>
      <c r="F144" s="446"/>
      <c r="G144" s="421"/>
      <c r="H144" s="420"/>
      <c r="I144" s="420"/>
      <c r="J144" s="420"/>
      <c r="K144" s="420"/>
      <c r="L144" s="420"/>
      <c r="M144" s="447"/>
      <c r="N144" s="447"/>
      <c r="O144" s="447"/>
      <c r="P144" s="447"/>
      <c r="Q144" s="447"/>
      <c r="R144" s="447"/>
      <c r="S144" s="447"/>
      <c r="T144" s="447"/>
      <c r="U144" s="447"/>
      <c r="V144" s="447"/>
      <c r="W144" s="447"/>
      <c r="X144" s="447"/>
      <c r="Y144" s="447"/>
      <c r="Z144" s="447"/>
      <c r="AA144" s="447"/>
      <c r="AB144" s="447"/>
      <c r="AC144" s="447"/>
      <c r="AD144" s="447"/>
      <c r="AE144" s="447"/>
      <c r="AF144" s="447"/>
      <c r="AG144" s="447"/>
      <c r="AH144" s="447"/>
      <c r="AI144" s="447"/>
      <c r="AJ144" s="447"/>
      <c r="AK144" s="447"/>
      <c r="AL144" s="447"/>
      <c r="AM144" s="447"/>
      <c r="AN144" s="447"/>
      <c r="AO144" s="447"/>
      <c r="AP144" s="447"/>
      <c r="AQ144" s="447"/>
      <c r="AR144" s="447"/>
      <c r="AS144" s="447"/>
      <c r="AT144" s="447"/>
      <c r="AU144" s="447"/>
      <c r="AV144" s="422" t="s">
        <v>1889</v>
      </c>
      <c r="AW144" s="422" t="s">
        <v>1890</v>
      </c>
      <c r="AX144" s="447"/>
      <c r="AY144" s="408"/>
      <c r="AZ144" s="448"/>
      <c r="BA144" s="449"/>
      <c r="BB144" s="422"/>
      <c r="BC144" s="450"/>
      <c r="BD144" s="450"/>
      <c r="BE144" s="450"/>
      <c r="BF144" s="450"/>
      <c r="BG144" s="450"/>
      <c r="BH144" s="447"/>
      <c r="BI144" s="429" t="s">
        <v>1859</v>
      </c>
      <c r="BJ144" s="429"/>
    </row>
    <row r="145" spans="1:62" s="462" customFormat="1" ht="48" customHeight="1">
      <c r="A145" s="451"/>
      <c r="B145" s="452" t="s">
        <v>1891</v>
      </c>
      <c r="C145" s="453" t="s">
        <v>42</v>
      </c>
      <c r="D145" s="446">
        <v>2</v>
      </c>
      <c r="E145" s="446">
        <v>2</v>
      </c>
      <c r="F145" s="446"/>
      <c r="G145" s="454"/>
      <c r="H145" s="420"/>
      <c r="I145" s="455"/>
      <c r="J145" s="455"/>
      <c r="K145" s="455"/>
      <c r="L145" s="455"/>
      <c r="M145" s="456"/>
      <c r="N145" s="456"/>
      <c r="O145" s="456"/>
      <c r="P145" s="456"/>
      <c r="Q145" s="456"/>
      <c r="R145" s="456"/>
      <c r="S145" s="456"/>
      <c r="T145" s="456"/>
      <c r="U145" s="456"/>
      <c r="V145" s="456"/>
      <c r="W145" s="456"/>
      <c r="X145" s="456"/>
      <c r="Y145" s="456"/>
      <c r="Z145" s="456"/>
      <c r="AA145" s="456"/>
      <c r="AB145" s="456"/>
      <c r="AC145" s="456"/>
      <c r="AD145" s="456"/>
      <c r="AE145" s="456"/>
      <c r="AF145" s="456"/>
      <c r="AG145" s="456"/>
      <c r="AH145" s="456"/>
      <c r="AI145" s="456"/>
      <c r="AJ145" s="456"/>
      <c r="AK145" s="456"/>
      <c r="AL145" s="456"/>
      <c r="AM145" s="456"/>
      <c r="AN145" s="456"/>
      <c r="AO145" s="456"/>
      <c r="AP145" s="456"/>
      <c r="AQ145" s="456"/>
      <c r="AR145" s="456"/>
      <c r="AS145" s="456"/>
      <c r="AT145" s="456"/>
      <c r="AU145" s="456"/>
      <c r="AV145" s="453" t="s">
        <v>295</v>
      </c>
      <c r="AW145" s="453" t="s">
        <v>1892</v>
      </c>
      <c r="AX145" s="457"/>
      <c r="AY145" s="458"/>
      <c r="AZ145" s="459"/>
      <c r="BA145" s="459"/>
      <c r="BB145" s="459"/>
      <c r="BC145" s="460"/>
      <c r="BD145" s="460"/>
      <c r="BE145" s="460"/>
      <c r="BF145" s="460"/>
      <c r="BG145" s="460"/>
      <c r="BH145" s="459"/>
      <c r="BI145" s="461" t="s">
        <v>1859</v>
      </c>
      <c r="BJ145" s="461"/>
    </row>
    <row r="146" spans="1:62" s="430" customFormat="1" ht="42" customHeight="1">
      <c r="A146" s="444"/>
      <c r="B146" s="445" t="s">
        <v>1879</v>
      </c>
      <c r="C146" s="453" t="s">
        <v>42</v>
      </c>
      <c r="D146" s="446">
        <v>1</v>
      </c>
      <c r="E146" s="446"/>
      <c r="F146" s="446"/>
      <c r="G146" s="421"/>
      <c r="H146" s="420"/>
      <c r="I146" s="420"/>
      <c r="J146" s="420"/>
      <c r="K146" s="420"/>
      <c r="L146" s="420"/>
      <c r="M146" s="447"/>
      <c r="N146" s="447"/>
      <c r="O146" s="447"/>
      <c r="P146" s="447"/>
      <c r="Q146" s="447"/>
      <c r="R146" s="447"/>
      <c r="S146" s="447"/>
      <c r="T146" s="447"/>
      <c r="U146" s="447"/>
      <c r="V146" s="447"/>
      <c r="W146" s="447"/>
      <c r="X146" s="447"/>
      <c r="Y146" s="447"/>
      <c r="Z146" s="447"/>
      <c r="AA146" s="447"/>
      <c r="AB146" s="447"/>
      <c r="AC146" s="447"/>
      <c r="AD146" s="447"/>
      <c r="AE146" s="447"/>
      <c r="AF146" s="447"/>
      <c r="AG146" s="447"/>
      <c r="AH146" s="447"/>
      <c r="AI146" s="447"/>
      <c r="AJ146" s="447"/>
      <c r="AK146" s="447"/>
      <c r="AL146" s="447"/>
      <c r="AM146" s="447"/>
      <c r="AN146" s="447"/>
      <c r="AO146" s="447"/>
      <c r="AP146" s="447"/>
      <c r="AQ146" s="447"/>
      <c r="AR146" s="447"/>
      <c r="AS146" s="447"/>
      <c r="AT146" s="447"/>
      <c r="AU146" s="447"/>
      <c r="AV146" s="422" t="s">
        <v>318</v>
      </c>
      <c r="AW146" s="463"/>
      <c r="AX146" s="447"/>
      <c r="AY146" s="408"/>
      <c r="AZ146" s="448"/>
      <c r="BA146" s="449"/>
      <c r="BB146" s="422"/>
      <c r="BC146" s="450"/>
      <c r="BD146" s="450"/>
      <c r="BE146" s="450"/>
      <c r="BF146" s="450"/>
      <c r="BG146" s="450"/>
      <c r="BH146" s="447"/>
      <c r="BI146" s="461" t="s">
        <v>1859</v>
      </c>
      <c r="BJ146" s="429"/>
    </row>
    <row r="147" spans="1:62" s="241" customFormat="1" ht="25" customHeight="1">
      <c r="A147" s="151" t="s">
        <v>1719</v>
      </c>
      <c r="B147" s="464" t="s">
        <v>1893</v>
      </c>
      <c r="C147" s="155"/>
      <c r="D147" s="351"/>
      <c r="E147" s="351"/>
      <c r="F147" s="351"/>
      <c r="G147" s="414"/>
      <c r="H147" s="413"/>
      <c r="I147" s="413"/>
      <c r="J147" s="413"/>
      <c r="K147" s="413" t="str">
        <f t="shared" si="14"/>
        <v/>
      </c>
      <c r="L147" s="413" t="str">
        <f t="shared" si="15"/>
        <v/>
      </c>
      <c r="M147" s="351"/>
      <c r="N147" s="351"/>
      <c r="O147" s="351"/>
      <c r="P147" s="351"/>
      <c r="Q147" s="351"/>
      <c r="R147" s="351"/>
      <c r="S147" s="351"/>
      <c r="T147" s="351"/>
      <c r="U147" s="351"/>
      <c r="V147" s="351"/>
      <c r="W147" s="351"/>
      <c r="X147" s="351"/>
      <c r="Y147" s="351"/>
      <c r="Z147" s="351"/>
      <c r="AA147" s="351"/>
      <c r="AB147" s="351"/>
      <c r="AC147" s="351"/>
      <c r="AD147" s="351"/>
      <c r="AE147" s="351"/>
      <c r="AF147" s="351"/>
      <c r="AG147" s="351"/>
      <c r="AH147" s="351"/>
      <c r="AI147" s="351"/>
      <c r="AJ147" s="351"/>
      <c r="AK147" s="351"/>
      <c r="AL147" s="351"/>
      <c r="AM147" s="351"/>
      <c r="AN147" s="351"/>
      <c r="AO147" s="351"/>
      <c r="AP147" s="351"/>
      <c r="AQ147" s="351"/>
      <c r="AR147" s="351"/>
      <c r="AS147" s="351"/>
      <c r="AT147" s="351"/>
      <c r="AU147" s="351"/>
      <c r="AV147" s="359"/>
      <c r="AX147" s="351"/>
      <c r="AY147" s="260"/>
      <c r="AZ147" s="351"/>
      <c r="BA147" s="351"/>
      <c r="BB147" s="351"/>
      <c r="BC147" s="155"/>
      <c r="BD147" s="155"/>
      <c r="BE147" s="155"/>
      <c r="BF147" s="155"/>
      <c r="BG147" s="155"/>
      <c r="BH147" s="351"/>
      <c r="BI147" s="409"/>
      <c r="BJ147" s="409"/>
    </row>
    <row r="148" spans="1:62" s="179" customFormat="1" ht="24.65" customHeight="1">
      <c r="A148" s="145"/>
      <c r="B148" s="163" t="s">
        <v>1757</v>
      </c>
      <c r="C148" s="164"/>
      <c r="D148" s="368"/>
      <c r="E148" s="368"/>
      <c r="F148" s="368"/>
      <c r="G148" s="410"/>
      <c r="H148" s="411"/>
      <c r="I148" s="411"/>
      <c r="J148" s="411"/>
      <c r="K148" s="411"/>
      <c r="L148" s="411"/>
      <c r="M148" s="368"/>
      <c r="N148" s="368"/>
      <c r="O148" s="368"/>
      <c r="P148" s="368"/>
      <c r="Q148" s="368"/>
      <c r="R148" s="368"/>
      <c r="S148" s="368"/>
      <c r="T148" s="368"/>
      <c r="U148" s="368"/>
      <c r="V148" s="368"/>
      <c r="W148" s="368"/>
      <c r="X148" s="368"/>
      <c r="Y148" s="368"/>
      <c r="Z148" s="368"/>
      <c r="AA148" s="368"/>
      <c r="AB148" s="368"/>
      <c r="AC148" s="368"/>
      <c r="AD148" s="368"/>
      <c r="AE148" s="368"/>
      <c r="AF148" s="368"/>
      <c r="AG148" s="368"/>
      <c r="AH148" s="368"/>
      <c r="AI148" s="368"/>
      <c r="AJ148" s="368"/>
      <c r="AK148" s="368"/>
      <c r="AL148" s="368"/>
      <c r="AM148" s="368"/>
      <c r="AN148" s="368"/>
      <c r="AO148" s="368"/>
      <c r="AP148" s="368"/>
      <c r="AQ148" s="368"/>
      <c r="AR148" s="368"/>
      <c r="AS148" s="368"/>
      <c r="AT148" s="368"/>
      <c r="AU148" s="368"/>
      <c r="AV148" s="368"/>
      <c r="AW148" s="368"/>
      <c r="AX148" s="368"/>
      <c r="AY148" s="257"/>
      <c r="AZ148" s="178"/>
      <c r="BA148" s="368"/>
      <c r="BB148" s="368"/>
      <c r="BC148" s="165"/>
      <c r="BD148" s="165"/>
      <c r="BE148" s="165"/>
      <c r="BF148" s="165"/>
      <c r="BG148" s="165"/>
      <c r="BH148" s="368"/>
      <c r="BI148" s="412"/>
      <c r="BJ148" s="412"/>
    </row>
    <row r="149" spans="1:62" ht="42" customHeight="1">
      <c r="A149" s="344">
        <f>SUBTOTAL(3,C$11:$C149)</f>
        <v>103</v>
      </c>
      <c r="B149" s="362" t="s">
        <v>1745</v>
      </c>
      <c r="C149" s="351" t="s">
        <v>43</v>
      </c>
      <c r="D149" s="351">
        <v>0.26</v>
      </c>
      <c r="E149" s="351"/>
      <c r="F149" s="351">
        <v>0.26</v>
      </c>
      <c r="G149" s="414">
        <f>SUM(M149:AR149)</f>
        <v>0.26</v>
      </c>
      <c r="H149" s="413" t="s">
        <v>1196</v>
      </c>
      <c r="I149" s="413" t="s">
        <v>968</v>
      </c>
      <c r="J149" s="413"/>
      <c r="K149" s="413" t="str">
        <f t="shared" si="14"/>
        <v xml:space="preserve">LUC, HNK, CLN, </v>
      </c>
      <c r="L149" s="413" t="str">
        <f t="shared" si="15"/>
        <v>LUC:0,1;HNK:0,1;CLN:0,06;</v>
      </c>
      <c r="M149" s="351">
        <v>0.1</v>
      </c>
      <c r="N149" s="351"/>
      <c r="O149" s="351">
        <v>0.1</v>
      </c>
      <c r="P149" s="351">
        <v>0.06</v>
      </c>
      <c r="Q149" s="351"/>
      <c r="R149" s="351"/>
      <c r="S149" s="351"/>
      <c r="T149" s="351"/>
      <c r="U149" s="351"/>
      <c r="V149" s="351"/>
      <c r="W149" s="351"/>
      <c r="X149" s="351"/>
      <c r="Y149" s="351"/>
      <c r="Z149" s="351"/>
      <c r="AA149" s="351"/>
      <c r="AB149" s="351"/>
      <c r="AC149" s="351"/>
      <c r="AD149" s="351"/>
      <c r="AE149" s="351"/>
      <c r="AF149" s="351"/>
      <c r="AG149" s="351"/>
      <c r="AH149" s="351"/>
      <c r="AI149" s="351"/>
      <c r="AJ149" s="351"/>
      <c r="AK149" s="351"/>
      <c r="AL149" s="351"/>
      <c r="AM149" s="351"/>
      <c r="AN149" s="351"/>
      <c r="AO149" s="351"/>
      <c r="AP149" s="351"/>
      <c r="AQ149" s="351"/>
      <c r="AR149" s="351"/>
      <c r="AS149" s="351"/>
      <c r="AT149" s="351"/>
      <c r="AU149" s="351"/>
      <c r="AV149" s="351" t="s">
        <v>217</v>
      </c>
      <c r="AW149" s="351" t="s">
        <v>217</v>
      </c>
      <c r="AX149" s="351"/>
      <c r="AY149" s="260"/>
      <c r="AZ149" s="181"/>
      <c r="BA149" s="351"/>
      <c r="BB149" s="351"/>
      <c r="BC149" s="156" t="s">
        <v>316</v>
      </c>
      <c r="BD149" s="156"/>
      <c r="BE149" s="156"/>
      <c r="BF149" s="156" t="s">
        <v>263</v>
      </c>
      <c r="BG149" s="156"/>
      <c r="BH149" s="351"/>
    </row>
    <row r="150" spans="1:62" ht="25" customHeight="1">
      <c r="A150" s="151" t="s">
        <v>1720</v>
      </c>
      <c r="B150" s="159" t="s">
        <v>109</v>
      </c>
      <c r="C150" s="158"/>
      <c r="D150" s="351"/>
      <c r="E150" s="351"/>
      <c r="F150" s="351"/>
      <c r="G150" s="414"/>
      <c r="H150" s="413"/>
      <c r="I150" s="413"/>
      <c r="J150" s="413"/>
      <c r="K150" s="413" t="str">
        <f t="shared" si="14"/>
        <v/>
      </c>
      <c r="L150" s="413" t="str">
        <f t="shared" si="15"/>
        <v/>
      </c>
      <c r="M150" s="351"/>
      <c r="N150" s="351"/>
      <c r="O150" s="351"/>
      <c r="P150" s="351"/>
      <c r="Q150" s="351"/>
      <c r="R150" s="351"/>
      <c r="S150" s="351"/>
      <c r="T150" s="351"/>
      <c r="U150" s="351"/>
      <c r="V150" s="351"/>
      <c r="W150" s="351"/>
      <c r="X150" s="351"/>
      <c r="Y150" s="351"/>
      <c r="Z150" s="351"/>
      <c r="AA150" s="351"/>
      <c r="AB150" s="351"/>
      <c r="AC150" s="351"/>
      <c r="AD150" s="351"/>
      <c r="AE150" s="351"/>
      <c r="AF150" s="351"/>
      <c r="AG150" s="351"/>
      <c r="AH150" s="351"/>
      <c r="AI150" s="351"/>
      <c r="AJ150" s="351"/>
      <c r="AK150" s="351"/>
      <c r="AL150" s="351"/>
      <c r="AM150" s="351"/>
      <c r="AN150" s="351"/>
      <c r="AO150" s="351"/>
      <c r="AP150" s="351"/>
      <c r="AQ150" s="351"/>
      <c r="AR150" s="351"/>
      <c r="AS150" s="351"/>
      <c r="AT150" s="351"/>
      <c r="AU150" s="351"/>
      <c r="AV150" s="351"/>
      <c r="AW150" s="351"/>
      <c r="AX150" s="351"/>
      <c r="AY150" s="260"/>
      <c r="AZ150" s="181"/>
      <c r="BA150" s="351"/>
      <c r="BB150" s="351"/>
      <c r="BC150" s="156"/>
      <c r="BD150" s="156"/>
      <c r="BE150" s="156"/>
      <c r="BF150" s="156"/>
      <c r="BG150" s="156"/>
      <c r="BH150" s="351"/>
    </row>
    <row r="151" spans="1:62" s="179" customFormat="1" ht="24.65" customHeight="1">
      <c r="A151" s="145"/>
      <c r="B151" s="163" t="s">
        <v>1757</v>
      </c>
      <c r="C151" s="164"/>
      <c r="D151" s="368"/>
      <c r="E151" s="368"/>
      <c r="F151" s="368"/>
      <c r="G151" s="410"/>
      <c r="H151" s="411"/>
      <c r="I151" s="411"/>
      <c r="J151" s="411"/>
      <c r="K151" s="411"/>
      <c r="L151" s="411"/>
      <c r="M151" s="368"/>
      <c r="N151" s="368"/>
      <c r="O151" s="368"/>
      <c r="P151" s="368"/>
      <c r="Q151" s="368"/>
      <c r="R151" s="368"/>
      <c r="S151" s="368"/>
      <c r="T151" s="368"/>
      <c r="U151" s="368"/>
      <c r="V151" s="368"/>
      <c r="W151" s="368"/>
      <c r="X151" s="368"/>
      <c r="Y151" s="368"/>
      <c r="Z151" s="368"/>
      <c r="AA151" s="368"/>
      <c r="AB151" s="368"/>
      <c r="AC151" s="368"/>
      <c r="AD151" s="368"/>
      <c r="AE151" s="368"/>
      <c r="AF151" s="368"/>
      <c r="AG151" s="368"/>
      <c r="AH151" s="368"/>
      <c r="AI151" s="368"/>
      <c r="AJ151" s="368"/>
      <c r="AK151" s="368"/>
      <c r="AL151" s="368"/>
      <c r="AM151" s="368"/>
      <c r="AN151" s="368"/>
      <c r="AO151" s="368"/>
      <c r="AP151" s="368"/>
      <c r="AQ151" s="368"/>
      <c r="AR151" s="368"/>
      <c r="AS151" s="368"/>
      <c r="AT151" s="368"/>
      <c r="AU151" s="368"/>
      <c r="AV151" s="368"/>
      <c r="AW151" s="368"/>
      <c r="AX151" s="368"/>
      <c r="AY151" s="257"/>
      <c r="AZ151" s="178"/>
      <c r="BA151" s="368"/>
      <c r="BB151" s="368"/>
      <c r="BC151" s="165"/>
      <c r="BD151" s="165"/>
      <c r="BE151" s="165"/>
      <c r="BF151" s="165"/>
      <c r="BG151" s="165"/>
      <c r="BH151" s="368"/>
      <c r="BI151" s="412"/>
      <c r="BJ151" s="412"/>
    </row>
    <row r="152" spans="1:62" ht="42" customHeight="1">
      <c r="A152" s="344">
        <f>SUBTOTAL(3,C$11:$C152)</f>
        <v>104</v>
      </c>
      <c r="B152" s="337" t="s">
        <v>464</v>
      </c>
      <c r="C152" s="338" t="s">
        <v>46</v>
      </c>
      <c r="D152" s="361">
        <v>0.35</v>
      </c>
      <c r="E152" s="366"/>
      <c r="F152" s="361">
        <v>0.35</v>
      </c>
      <c r="G152" s="414">
        <f>SUM(M152:AR152)</f>
        <v>0.35</v>
      </c>
      <c r="H152" s="413" t="s">
        <v>1135</v>
      </c>
      <c r="I152" s="413" t="s">
        <v>1136</v>
      </c>
      <c r="J152" s="413"/>
      <c r="K152" s="413" t="str">
        <f>IF(M152&lt;&gt;0,$M$5&amp;", ","")&amp;IF(N152&lt;&gt;0,$N$5&amp;", ","")&amp;IF(O152&lt;&gt;0,O$5&amp;", ","")&amp;IF(P152&lt;&gt;0,P$5&amp;", ","")&amp;IF(Q152&lt;&gt;0,Q$5&amp;", ","")&amp;IF(R152&lt;&gt;0,R$5&amp;", ","")&amp;IF(S152&lt;&gt;0,S$5&amp;", ","")&amp;IF(T152&lt;&gt;0,T$5&amp;", ","")&amp;IF(U152&lt;&gt;0,U$5&amp;", ","")&amp;IF(V152&lt;&gt;0,V$5&amp;", ","")&amp;IF(W152&lt;&gt;0,W$5&amp;", ","")&amp;IF(X152&lt;&gt;0,X$5&amp;", ","")&amp;IF(Y152&lt;&gt;0,Y$5&amp;", ","")&amp;IF(Z152&lt;&gt;0,Z$5&amp;", ","")&amp;IF(AA152&lt;&gt;0,AA$5&amp;", ","")&amp;IF(AB152&lt;&gt;0,AB$5&amp;", ","")&amp;IF(AC152&lt;&gt;0,AC$5&amp;", ","")&amp;IF(AD152&lt;&gt;0,AD$5&amp;", ","")&amp;IF(AE152&lt;&gt;0,AE$5&amp;", ","")&amp;IF(AF152&lt;&gt;0,AF$5&amp;", ","")&amp;IF(AG152&lt;&gt;0,AG$5&amp;", ","")&amp;IF(AH152&lt;&gt;0,AH$5&amp;", ","")&amp;IF(AI152&lt;&gt;0,AI$5&amp;", ","")&amp;IF(AJ152&lt;&gt;0,AJ$5&amp;", ","")&amp;IF(AK152&lt;&gt;0,AK$5&amp;", ","")&amp;IF(AL152&lt;&gt;0,AL$5&amp;", ","")&amp;IF(AM152&lt;&gt;0,AM$5&amp;", ","")&amp;IF(AN152&lt;&gt;0,AN$5&amp;", ","")&amp;IF(AO152&lt;&gt;0,AO$5&amp;", ","")&amp;IF(AP152&lt;&gt;0,AP$5&amp;", ","")&amp;IF(AQ152&lt;&gt;0,AQ$5&amp;", ","")&amp;IF(AR152&lt;&gt;0,AR$5,"")&amp;IF(AS152&lt;&gt;0,AS$5,"")&amp;IF(AT152&lt;&gt;0,AT$5,"")&amp;IF(AU152&lt;&gt;0,AU$5,"")</f>
        <v xml:space="preserve">LUC, ONT, </v>
      </c>
      <c r="L152" s="413" t="str">
        <f>IF(M152="","",$M$5&amp;":"&amp;M152&amp;";")&amp;IF(N152="","",$N$5&amp;":"&amp;N152&amp;";")&amp;IF(O152="","",$O$5&amp;":"&amp;O152&amp;";")&amp;IF(P152="","",$P$5&amp;":"&amp;P152&amp;";")&amp;IF(Q152="","",$Q$5&amp;":"&amp;Q152&amp;";")&amp;IF(R152="","",$R$5&amp;":"&amp;R152&amp;";")&amp;IF(S152="","",$S$5&amp;":"&amp;S152&amp;";")&amp;IF(T152="","",$T$5&amp;":"&amp;T152&amp;";")&amp;IF(U152="","",$U$5&amp;":"&amp;U152&amp;";")&amp;IF(V152="","",$V$5&amp;":"&amp;V152&amp;";")&amp;IF(W152="","",$W$5&amp;":"&amp;W152&amp;";")&amp;IF(X152="","",$X$5&amp;":"&amp;X152&amp;";")&amp;IF(Y152="","",$Y$5&amp;":"&amp;Y152&amp;";")&amp;IF(Z152="","",$Z$5&amp;":"&amp;Z152&amp;";")&amp;IF(AA152="","",$AA$5&amp;":"&amp;AA152&amp;";")&amp;IF(AB152="","",$AB$5&amp;":"&amp;AB152&amp;";")&amp;IF(AC152="","",$AC$5&amp;":"&amp;AC152&amp;";")&amp;IF(AD152="","",$AD$5&amp;":"&amp;AD152&amp;";")&amp;IF(AE152="","",$AE$5&amp;":"&amp;AE152&amp;";")&amp;IF(AF152="","",$AF$5&amp;":"&amp;AF152&amp;";")&amp;IF(AG152="","",$AG$5&amp;":"&amp;AG152&amp;";")&amp;IF(AH152="","",$AH$5&amp;":"&amp;AH152&amp;";")&amp;IF(AI152="","",$AI$5&amp;":"&amp;AI152&amp;";")&amp;IF(AJ152="","",$AJ$5&amp;":"&amp;AJ152&amp;";")&amp;IF(AK152="","",$AK$5&amp;":"&amp;AK152&amp;";")&amp;IF(AL152="","",$AL$5&amp;":"&amp;AL152&amp;";")&amp;IF(AM152="","",$AM$5&amp;":"&amp;AM152&amp;";")&amp;IF(AN152="","",$AN$5&amp;":"&amp;AN152&amp;";")&amp;IF(AO152="","",$AO$5&amp;":"&amp;AO152&amp;";")&amp;IF(AP152="","",$AP$5&amp;":"&amp;AP152&amp;";")&amp;IF(AQ152="","",$AQ$5&amp;":"&amp;AQ152&amp;";")&amp;IF(AR152="","",$AR$5&amp;":"&amp;AR152&amp;";")&amp;IF(AS152="","",$AS$5&amp;":"&amp;AS152&amp;";")&amp;IF(AT152="","",$AT$5&amp;":"&amp;AT152&amp;";")&amp;IF(AU152="","",$AU$5&amp;":"&amp;AU152&amp;";")</f>
        <v>LUC:0,3;ONT:0,05;</v>
      </c>
      <c r="M152" s="361">
        <v>0.3</v>
      </c>
      <c r="N152" s="361"/>
      <c r="O152" s="361"/>
      <c r="P152" s="361"/>
      <c r="Q152" s="361"/>
      <c r="R152" s="361"/>
      <c r="S152" s="361"/>
      <c r="T152" s="361"/>
      <c r="U152" s="361"/>
      <c r="V152" s="361"/>
      <c r="W152" s="361"/>
      <c r="X152" s="361"/>
      <c r="Y152" s="361"/>
      <c r="Z152" s="361"/>
      <c r="AA152" s="361"/>
      <c r="AB152" s="361"/>
      <c r="AC152" s="361"/>
      <c r="AD152" s="361"/>
      <c r="AE152" s="361"/>
      <c r="AF152" s="361"/>
      <c r="AG152" s="361"/>
      <c r="AH152" s="361"/>
      <c r="AI152" s="361"/>
      <c r="AJ152" s="361"/>
      <c r="AK152" s="361"/>
      <c r="AL152" s="361">
        <v>0.05</v>
      </c>
      <c r="AM152" s="361"/>
      <c r="AN152" s="361"/>
      <c r="AO152" s="361"/>
      <c r="AP152" s="361"/>
      <c r="AQ152" s="361"/>
      <c r="AR152" s="361"/>
      <c r="AS152" s="361"/>
      <c r="AT152" s="361"/>
      <c r="AU152" s="361"/>
      <c r="AV152" s="338" t="s">
        <v>286</v>
      </c>
      <c r="AW152" s="338" t="s">
        <v>286</v>
      </c>
      <c r="AX152" s="432" t="s">
        <v>465</v>
      </c>
      <c r="AY152" s="433" t="s">
        <v>465</v>
      </c>
      <c r="AZ152" s="434" t="s">
        <v>1227</v>
      </c>
      <c r="BA152" s="432"/>
      <c r="BB152" s="432"/>
      <c r="BC152" s="195" t="s">
        <v>270</v>
      </c>
      <c r="BD152" s="195"/>
      <c r="BE152" s="195"/>
      <c r="BF152" s="195" t="s">
        <v>263</v>
      </c>
      <c r="BG152" s="195"/>
      <c r="BH152" s="432"/>
    </row>
    <row r="153" spans="1:62" ht="42" customHeight="1">
      <c r="A153" s="344">
        <f>SUBTOTAL(3,C$11:$C153)</f>
        <v>105</v>
      </c>
      <c r="B153" s="337" t="s">
        <v>470</v>
      </c>
      <c r="C153" s="338" t="s">
        <v>46</v>
      </c>
      <c r="D153" s="361">
        <v>1.5</v>
      </c>
      <c r="E153" s="366">
        <v>0.5</v>
      </c>
      <c r="F153" s="361">
        <v>1</v>
      </c>
      <c r="G153" s="414">
        <f>SUM(M153:AR153)</f>
        <v>1</v>
      </c>
      <c r="H153" s="413" t="s">
        <v>56</v>
      </c>
      <c r="I153" s="413" t="s">
        <v>56</v>
      </c>
      <c r="J153" s="413"/>
      <c r="K153" s="413" t="str">
        <f>IF(M153&lt;&gt;0,$M$5&amp;", ","")&amp;IF(N153&lt;&gt;0,$N$5&amp;", ","")&amp;IF(O153&lt;&gt;0,O$5&amp;", ","")&amp;IF(P153&lt;&gt;0,P$5&amp;", ","")&amp;IF(Q153&lt;&gt;0,Q$5&amp;", ","")&amp;IF(R153&lt;&gt;0,R$5&amp;", ","")&amp;IF(S153&lt;&gt;0,S$5&amp;", ","")&amp;IF(T153&lt;&gt;0,T$5&amp;", ","")&amp;IF(U153&lt;&gt;0,U$5&amp;", ","")&amp;IF(V153&lt;&gt;0,V$5&amp;", ","")&amp;IF(W153&lt;&gt;0,W$5&amp;", ","")&amp;IF(X153&lt;&gt;0,X$5&amp;", ","")&amp;IF(Y153&lt;&gt;0,Y$5&amp;", ","")&amp;IF(Z153&lt;&gt;0,Z$5&amp;", ","")&amp;IF(AA153&lt;&gt;0,AA$5&amp;", ","")&amp;IF(AB153&lt;&gt;0,AB$5&amp;", ","")&amp;IF(AC153&lt;&gt;0,AC$5&amp;", ","")&amp;IF(AD153&lt;&gt;0,AD$5&amp;", ","")&amp;IF(AE153&lt;&gt;0,AE$5&amp;", ","")&amp;IF(AF153&lt;&gt;0,AF$5&amp;", ","")&amp;IF(AG153&lt;&gt;0,AG$5&amp;", ","")&amp;IF(AH153&lt;&gt;0,AH$5&amp;", ","")&amp;IF(AI153&lt;&gt;0,AI$5&amp;", ","")&amp;IF(AJ153&lt;&gt;0,AJ$5&amp;", ","")&amp;IF(AK153&lt;&gt;0,AK$5&amp;", ","")&amp;IF(AL153&lt;&gt;0,AL$5&amp;", ","")&amp;IF(AM153&lt;&gt;0,AM$5&amp;", ","")&amp;IF(AN153&lt;&gt;0,AN$5&amp;", ","")&amp;IF(AO153&lt;&gt;0,AO$5&amp;", ","")&amp;IF(AP153&lt;&gt;0,AP$5&amp;", ","")&amp;IF(AQ153&lt;&gt;0,AQ$5&amp;", ","")&amp;IF(AR153&lt;&gt;0,AR$5,"")&amp;IF(AS153&lt;&gt;0,AS$5,"")&amp;IF(AT153&lt;&gt;0,AT$5,"")&amp;IF(AU153&lt;&gt;0,AU$5,"")</f>
        <v xml:space="preserve">ONT, </v>
      </c>
      <c r="L153" s="413" t="str">
        <f>IF(M153="","",$M$5&amp;":"&amp;M153&amp;";")&amp;IF(N153="","",$N$5&amp;":"&amp;N153&amp;";")&amp;IF(O153="","",$O$5&amp;":"&amp;O153&amp;";")&amp;IF(P153="","",$P$5&amp;":"&amp;P153&amp;";")&amp;IF(Q153="","",$Q$5&amp;":"&amp;Q153&amp;";")&amp;IF(R153="","",$R$5&amp;":"&amp;R153&amp;";")&amp;IF(S153="","",$S$5&amp;":"&amp;S153&amp;";")&amp;IF(T153="","",$T$5&amp;":"&amp;T153&amp;";")&amp;IF(U153="","",$U$5&amp;":"&amp;U153&amp;";")&amp;IF(V153="","",$V$5&amp;":"&amp;V153&amp;";")&amp;IF(W153="","",$W$5&amp;":"&amp;W153&amp;";")&amp;IF(X153="","",$X$5&amp;":"&amp;X153&amp;";")&amp;IF(Y153="","",$Y$5&amp;":"&amp;Y153&amp;";")&amp;IF(Z153="","",$Z$5&amp;":"&amp;Z153&amp;";")&amp;IF(AA153="","",$AA$5&amp;":"&amp;AA153&amp;";")&amp;IF(AB153="","",$AB$5&amp;":"&amp;AB153&amp;";")&amp;IF(AC153="","",$AC$5&amp;":"&amp;AC153&amp;";")&amp;IF(AD153="","",$AD$5&amp;":"&amp;AD153&amp;";")&amp;IF(AE153="","",$AE$5&amp;":"&amp;AE153&amp;";")&amp;IF(AF153="","",$AF$5&amp;":"&amp;AF153&amp;";")&amp;IF(AG153="","",$AG$5&amp;":"&amp;AG153&amp;";")&amp;IF(AH153="","",$AH$5&amp;":"&amp;AH153&amp;";")&amp;IF(AI153="","",$AI$5&amp;":"&amp;AI153&amp;";")&amp;IF(AJ153="","",$AJ$5&amp;":"&amp;AJ153&amp;";")&amp;IF(AK153="","",$AK$5&amp;":"&amp;AK153&amp;";")&amp;IF(AL153="","",$AL$5&amp;":"&amp;AL153&amp;";")&amp;IF(AM153="","",$AM$5&amp;":"&amp;AM153&amp;";")&amp;IF(AN153="","",$AN$5&amp;":"&amp;AN153&amp;";")&amp;IF(AO153="","",$AO$5&amp;":"&amp;AO153&amp;";")&amp;IF(AP153="","",$AP$5&amp;":"&amp;AP153&amp;";")&amp;IF(AQ153="","",$AQ$5&amp;":"&amp;AQ153&amp;";")&amp;IF(AR153="","",$AR$5&amp;":"&amp;AR153&amp;";")&amp;IF(AS153="","",$AS$5&amp;":"&amp;AS153&amp;";")&amp;IF(AT153="","",$AT$5&amp;":"&amp;AT153&amp;";")&amp;IF(AU153="","",$AU$5&amp;":"&amp;AU153&amp;";")</f>
        <v>ONT:1;</v>
      </c>
      <c r="M153" s="361"/>
      <c r="N153" s="361"/>
      <c r="O153" s="361"/>
      <c r="P153" s="361"/>
      <c r="Q153" s="361"/>
      <c r="R153" s="361"/>
      <c r="S153" s="361"/>
      <c r="T153" s="361"/>
      <c r="U153" s="361"/>
      <c r="V153" s="361"/>
      <c r="W153" s="361"/>
      <c r="X153" s="361"/>
      <c r="Y153" s="361"/>
      <c r="Z153" s="361"/>
      <c r="AA153" s="361"/>
      <c r="AB153" s="361"/>
      <c r="AC153" s="361"/>
      <c r="AD153" s="361"/>
      <c r="AE153" s="361"/>
      <c r="AF153" s="361"/>
      <c r="AG153" s="361"/>
      <c r="AH153" s="361"/>
      <c r="AI153" s="361"/>
      <c r="AJ153" s="361"/>
      <c r="AK153" s="361"/>
      <c r="AL153" s="361">
        <v>1</v>
      </c>
      <c r="AM153" s="361"/>
      <c r="AN153" s="361"/>
      <c r="AO153" s="361"/>
      <c r="AP153" s="361"/>
      <c r="AQ153" s="361"/>
      <c r="AR153" s="361"/>
      <c r="AS153" s="361"/>
      <c r="AT153" s="361"/>
      <c r="AU153" s="361"/>
      <c r="AV153" s="338" t="s">
        <v>309</v>
      </c>
      <c r="AW153" s="338" t="s">
        <v>309</v>
      </c>
      <c r="AX153" s="432" t="s">
        <v>471</v>
      </c>
      <c r="AY153" s="433" t="s">
        <v>471</v>
      </c>
      <c r="AZ153" s="434" t="s">
        <v>1230</v>
      </c>
      <c r="BA153" s="432"/>
      <c r="BB153" s="432"/>
      <c r="BC153" s="195" t="s">
        <v>270</v>
      </c>
      <c r="BD153" s="195"/>
      <c r="BE153" s="195"/>
      <c r="BF153" s="195" t="s">
        <v>263</v>
      </c>
      <c r="BG153" s="195"/>
      <c r="BH153" s="432"/>
    </row>
    <row r="154" spans="1:62" s="477" customFormat="1" ht="42" customHeight="1">
      <c r="A154" s="465">
        <f>SUBTOTAL(3,C$11:$C154)</f>
        <v>106</v>
      </c>
      <c r="B154" s="466" t="s">
        <v>474</v>
      </c>
      <c r="C154" s="467" t="s">
        <v>46</v>
      </c>
      <c r="D154" s="468">
        <v>0.65</v>
      </c>
      <c r="E154" s="469"/>
      <c r="F154" s="468">
        <v>0.65</v>
      </c>
      <c r="G154" s="470">
        <f>SUM(M154:AR154)</f>
        <v>0.64999999999999991</v>
      </c>
      <c r="H154" s="471" t="s">
        <v>1094</v>
      </c>
      <c r="I154" s="471" t="s">
        <v>1095</v>
      </c>
      <c r="J154" s="471"/>
      <c r="K154" s="471" t="str">
        <f>IF(M154&lt;&gt;0,$M$5&amp;", ","")&amp;IF(N154&lt;&gt;0,$N$5&amp;", ","")&amp;IF(O154&lt;&gt;0,O$5&amp;", ","")&amp;IF(P154&lt;&gt;0,P$5&amp;", ","")&amp;IF(Q154&lt;&gt;0,Q$5&amp;", ","")&amp;IF(R154&lt;&gt;0,R$5&amp;", ","")&amp;IF(S154&lt;&gt;0,S$5&amp;", ","")&amp;IF(T154&lt;&gt;0,T$5&amp;", ","")&amp;IF(U154&lt;&gt;0,U$5&amp;", ","")&amp;IF(V154&lt;&gt;0,V$5&amp;", ","")&amp;IF(W154&lt;&gt;0,W$5&amp;", ","")&amp;IF(X154&lt;&gt;0,X$5&amp;", ","")&amp;IF(Y154&lt;&gt;0,Y$5&amp;", ","")&amp;IF(Z154&lt;&gt;0,Z$5&amp;", ","")&amp;IF(AA154&lt;&gt;0,AA$5&amp;", ","")&amp;IF(AB154&lt;&gt;0,AB$5&amp;", ","")&amp;IF(AC154&lt;&gt;0,AC$5&amp;", ","")&amp;IF(AD154&lt;&gt;0,AD$5&amp;", ","")&amp;IF(AE154&lt;&gt;0,AE$5&amp;", ","")&amp;IF(AF154&lt;&gt;0,AF$5&amp;", ","")&amp;IF(AG154&lt;&gt;0,AG$5&amp;", ","")&amp;IF(AH154&lt;&gt;0,AH$5&amp;", ","")&amp;IF(AI154&lt;&gt;0,AI$5&amp;", ","")&amp;IF(AJ154&lt;&gt;0,AJ$5&amp;", ","")&amp;IF(AK154&lt;&gt;0,AK$5&amp;", ","")&amp;IF(AL154&lt;&gt;0,AL$5&amp;", ","")&amp;IF(AM154&lt;&gt;0,AM$5&amp;", ","")&amp;IF(AN154&lt;&gt;0,AN$5&amp;", ","")&amp;IF(AO154&lt;&gt;0,AO$5&amp;", ","")&amp;IF(AP154&lt;&gt;0,AP$5&amp;", ","")&amp;IF(AQ154&lt;&gt;0,AQ$5&amp;", ","")&amp;IF(AR154&lt;&gt;0,AR$5,"")&amp;IF(AS154&lt;&gt;0,AS$5,"")&amp;IF(AT154&lt;&gt;0,AT$5,"")&amp;IF(AU154&lt;&gt;0,AU$5,"")</f>
        <v xml:space="preserve">LUC, HNK, </v>
      </c>
      <c r="L154" s="471" t="str">
        <f>IF(M154="","",$M$5&amp;":"&amp;M154&amp;";")&amp;IF(N154="","",$N$5&amp;":"&amp;N154&amp;";")&amp;IF(O154="","",$O$5&amp;":"&amp;O154&amp;";")&amp;IF(P154="","",$P$5&amp;":"&amp;P154&amp;";")&amp;IF(Q154="","",$Q$5&amp;":"&amp;Q154&amp;";")&amp;IF(R154="","",$R$5&amp;":"&amp;R154&amp;";")&amp;IF(S154="","",$S$5&amp;":"&amp;S154&amp;";")&amp;IF(T154="","",$T$5&amp;":"&amp;T154&amp;";")&amp;IF(U154="","",$U$5&amp;":"&amp;U154&amp;";")&amp;IF(V154="","",$V$5&amp;":"&amp;V154&amp;";")&amp;IF(W154="","",$W$5&amp;":"&amp;W154&amp;";")&amp;IF(X154="","",$X$5&amp;":"&amp;X154&amp;";")&amp;IF(Y154="","",$Y$5&amp;":"&amp;Y154&amp;";")&amp;IF(Z154="","",$Z$5&amp;":"&amp;Z154&amp;";")&amp;IF(AA154="","",$AA$5&amp;":"&amp;AA154&amp;";")&amp;IF(AB154="","",$AB$5&amp;":"&amp;AB154&amp;";")&amp;IF(AC154="","",$AC$5&amp;":"&amp;AC154&amp;";")&amp;IF(AD154="","",$AD$5&amp;":"&amp;AD154&amp;";")&amp;IF(AE154="","",$AE$5&amp;":"&amp;AE154&amp;";")&amp;IF(AF154="","",$AF$5&amp;":"&amp;AF154&amp;";")&amp;IF(AG154="","",$AG$5&amp;":"&amp;AG154&amp;";")&amp;IF(AH154="","",$AH$5&amp;":"&amp;AH154&amp;";")&amp;IF(AI154="","",$AI$5&amp;":"&amp;AI154&amp;";")&amp;IF(AJ154="","",$AJ$5&amp;":"&amp;AJ154&amp;";")&amp;IF(AK154="","",$AK$5&amp;":"&amp;AK154&amp;";")&amp;IF(AL154="","",$AL$5&amp;":"&amp;AL154&amp;";")&amp;IF(AM154="","",$AM$5&amp;":"&amp;AM154&amp;";")&amp;IF(AN154="","",$AN$5&amp;":"&amp;AN154&amp;";")&amp;IF(AO154="","",$AO$5&amp;":"&amp;AO154&amp;";")&amp;IF(AP154="","",$AP$5&amp;":"&amp;AP154&amp;";")&amp;IF(AQ154="","",$AQ$5&amp;":"&amp;AQ154&amp;";")&amp;IF(AR154="","",$AR$5&amp;":"&amp;AR154&amp;";")&amp;IF(AS154="","",$AS$5&amp;":"&amp;AS154&amp;";")&amp;IF(AT154="","",$AT$5&amp;":"&amp;AT154&amp;";")&amp;IF(AU154="","",$AU$5&amp;":"&amp;AU154&amp;";")</f>
        <v>LUC:0,3;HNK:0,35;</v>
      </c>
      <c r="M154" s="468">
        <v>0.3</v>
      </c>
      <c r="N154" s="468"/>
      <c r="O154" s="468">
        <v>0.35</v>
      </c>
      <c r="P154" s="468"/>
      <c r="Q154" s="468"/>
      <c r="R154" s="468"/>
      <c r="S154" s="468"/>
      <c r="T154" s="468"/>
      <c r="U154" s="468"/>
      <c r="V154" s="468"/>
      <c r="W154" s="468"/>
      <c r="X154" s="468"/>
      <c r="Y154" s="468"/>
      <c r="Z154" s="468"/>
      <c r="AA154" s="468"/>
      <c r="AB154" s="468"/>
      <c r="AC154" s="468"/>
      <c r="AD154" s="468"/>
      <c r="AE154" s="468"/>
      <c r="AF154" s="468"/>
      <c r="AG154" s="468"/>
      <c r="AH154" s="468"/>
      <c r="AI154" s="468"/>
      <c r="AJ154" s="468"/>
      <c r="AK154" s="468"/>
      <c r="AL154" s="468"/>
      <c r="AM154" s="468"/>
      <c r="AN154" s="468"/>
      <c r="AO154" s="468"/>
      <c r="AP154" s="468"/>
      <c r="AQ154" s="468"/>
      <c r="AR154" s="468"/>
      <c r="AS154" s="468"/>
      <c r="AT154" s="468"/>
      <c r="AU154" s="468"/>
      <c r="AV154" s="467" t="s">
        <v>300</v>
      </c>
      <c r="AW154" s="467" t="s">
        <v>300</v>
      </c>
      <c r="AX154" s="472" t="s">
        <v>475</v>
      </c>
      <c r="AY154" s="473" t="s">
        <v>475</v>
      </c>
      <c r="AZ154" s="474" t="s">
        <v>1232</v>
      </c>
      <c r="BA154" s="472"/>
      <c r="BB154" s="472"/>
      <c r="BC154" s="475" t="s">
        <v>267</v>
      </c>
      <c r="BD154" s="475"/>
      <c r="BE154" s="475"/>
      <c r="BF154" s="475" t="s">
        <v>263</v>
      </c>
      <c r="BG154" s="475"/>
      <c r="BH154" s="472"/>
      <c r="BI154" s="476"/>
      <c r="BJ154" s="476"/>
    </row>
    <row r="155" spans="1:62" ht="42" customHeight="1">
      <c r="A155" s="611">
        <f>SUBTOTAL(3,C$11:$C155)</f>
        <v>107</v>
      </c>
      <c r="B155" s="613" t="s">
        <v>463</v>
      </c>
      <c r="C155" s="614" t="s">
        <v>46</v>
      </c>
      <c r="D155" s="615">
        <v>3.15</v>
      </c>
      <c r="E155" s="617"/>
      <c r="F155" s="361">
        <f>F156+F157</f>
        <v>3.15</v>
      </c>
      <c r="G155" s="414"/>
      <c r="H155" s="413" t="s">
        <v>1217</v>
      </c>
      <c r="I155" s="413"/>
      <c r="J155" s="413"/>
      <c r="K155" s="413"/>
      <c r="L155" s="413"/>
      <c r="M155" s="361"/>
      <c r="N155" s="361"/>
      <c r="O155" s="361"/>
      <c r="P155" s="361"/>
      <c r="Q155" s="361"/>
      <c r="R155" s="361"/>
      <c r="S155" s="361"/>
      <c r="T155" s="361"/>
      <c r="U155" s="361"/>
      <c r="V155" s="361"/>
      <c r="W155" s="361"/>
      <c r="X155" s="361"/>
      <c r="Y155" s="361"/>
      <c r="Z155" s="361"/>
      <c r="AA155" s="361"/>
      <c r="AB155" s="361"/>
      <c r="AC155" s="361"/>
      <c r="AD155" s="361"/>
      <c r="AE155" s="361"/>
      <c r="AF155" s="361"/>
      <c r="AG155" s="361"/>
      <c r="AH155" s="361"/>
      <c r="AI155" s="361"/>
      <c r="AJ155" s="361"/>
      <c r="AK155" s="361"/>
      <c r="AL155" s="361"/>
      <c r="AM155" s="361"/>
      <c r="AN155" s="361"/>
      <c r="AO155" s="361"/>
      <c r="AP155" s="361"/>
      <c r="AQ155" s="361"/>
      <c r="AR155" s="361"/>
      <c r="AS155" s="361"/>
      <c r="AT155" s="361"/>
      <c r="AU155" s="361"/>
      <c r="AV155" s="338" t="s">
        <v>1218</v>
      </c>
      <c r="AW155" s="338"/>
      <c r="AX155" s="351" t="s">
        <v>1219</v>
      </c>
      <c r="AY155" s="260"/>
      <c r="AZ155" s="352"/>
      <c r="BA155" s="350"/>
      <c r="BB155" s="350"/>
      <c r="BC155" s="195"/>
      <c r="BD155" s="195"/>
      <c r="BE155" s="195"/>
      <c r="BF155" s="195"/>
      <c r="BG155" s="195"/>
      <c r="BH155" s="350"/>
    </row>
    <row r="156" spans="1:62" ht="42" customHeight="1">
      <c r="A156" s="611"/>
      <c r="B156" s="613"/>
      <c r="C156" s="614"/>
      <c r="D156" s="615"/>
      <c r="E156" s="617"/>
      <c r="F156" s="203">
        <v>2.3199999999999998</v>
      </c>
      <c r="G156" s="414">
        <f>SUM(M156:AR156)</f>
        <v>2.3239999999999998</v>
      </c>
      <c r="H156" s="413" t="s">
        <v>1220</v>
      </c>
      <c r="I156" s="413" t="s">
        <v>1221</v>
      </c>
      <c r="J156" s="413"/>
      <c r="K156" s="413" t="str">
        <f>IF(M156&lt;&gt;0,$M$5&amp;", ","")&amp;IF(N156&lt;&gt;0,$N$5&amp;", ","")&amp;IF(O156&lt;&gt;0,O$5&amp;", ","")&amp;IF(P156&lt;&gt;0,P$5&amp;", ","")&amp;IF(Q156&lt;&gt;0,Q$5&amp;", ","")&amp;IF(R156&lt;&gt;0,R$5&amp;", ","")&amp;IF(S156&lt;&gt;0,S$5&amp;", ","")&amp;IF(T156&lt;&gt;0,T$5&amp;", ","")&amp;IF(U156&lt;&gt;0,U$5&amp;", ","")&amp;IF(V156&lt;&gt;0,V$5&amp;", ","")&amp;IF(W156&lt;&gt;0,W$5&amp;", ","")&amp;IF(X156&lt;&gt;0,X$5&amp;", ","")&amp;IF(Y156&lt;&gt;0,Y$5&amp;", ","")&amp;IF(Z156&lt;&gt;0,Z$5&amp;", ","")&amp;IF(AA156&lt;&gt;0,AA$5&amp;", ","")&amp;IF(AB156&lt;&gt;0,AB$5&amp;", ","")&amp;IF(AC156&lt;&gt;0,AC$5&amp;", ","")&amp;IF(AD156&lt;&gt;0,AD$5&amp;", ","")&amp;IF(AE156&lt;&gt;0,AE$5&amp;", ","")&amp;IF(AF156&lt;&gt;0,AF$5&amp;", ","")&amp;IF(AG156&lt;&gt;0,AG$5&amp;", ","")&amp;IF(AH156&lt;&gt;0,AH$5&amp;", ","")&amp;IF(AI156&lt;&gt;0,AI$5&amp;", ","")&amp;IF(AJ156&lt;&gt;0,AJ$5&amp;", ","")&amp;IF(AK156&lt;&gt;0,AK$5&amp;", ","")&amp;IF(AL156&lt;&gt;0,AL$5&amp;", ","")&amp;IF(AM156&lt;&gt;0,AM$5&amp;", ","")&amp;IF(AN156&lt;&gt;0,AN$5&amp;", ","")&amp;IF(AO156&lt;&gt;0,AO$5&amp;", ","")&amp;IF(AP156&lt;&gt;0,AP$5&amp;", ","")&amp;IF(AQ156&lt;&gt;0,AQ$5&amp;", ","")&amp;IF(AR156&lt;&gt;0,AR$5,"")&amp;IF(AS156&lt;&gt;0,AS$5,"")&amp;IF(AT156&lt;&gt;0,AT$5,"")&amp;IF(AU156&lt;&gt;0,AU$5,"")</f>
        <v xml:space="preserve">LUC, CLN, SON, </v>
      </c>
      <c r="L156" s="413" t="str">
        <f>IF(M156="","",$M$5&amp;":"&amp;M156&amp;";")&amp;IF(N156="","",$N$5&amp;":"&amp;N156&amp;";")&amp;IF(O156="","",$O$5&amp;":"&amp;O156&amp;";")&amp;IF(P156="","",$P$5&amp;":"&amp;P156&amp;";")&amp;IF(Q156="","",$Q$5&amp;":"&amp;Q156&amp;";")&amp;IF(R156="","",$R$5&amp;":"&amp;R156&amp;";")&amp;IF(S156="","",$S$5&amp;":"&amp;S156&amp;";")&amp;IF(T156="","",$T$5&amp;":"&amp;T156&amp;";")&amp;IF(U156="","",$U$5&amp;":"&amp;U156&amp;";")&amp;IF(V156="","",$V$5&amp;":"&amp;V156&amp;";")&amp;IF(W156="","",$W$5&amp;":"&amp;W156&amp;";")&amp;IF(X156="","",$X$5&amp;":"&amp;X156&amp;";")&amp;IF(Y156="","",$Y$5&amp;":"&amp;Y156&amp;";")&amp;IF(Z156="","",$Z$5&amp;":"&amp;Z156&amp;";")&amp;IF(AA156="","",$AA$5&amp;":"&amp;AA156&amp;";")&amp;IF(AB156="","",$AB$5&amp;":"&amp;AB156&amp;";")&amp;IF(AC156="","",$AC$5&amp;":"&amp;AC156&amp;";")&amp;IF(AD156="","",$AD$5&amp;":"&amp;AD156&amp;";")&amp;IF(AE156="","",$AE$5&amp;":"&amp;AE156&amp;";")&amp;IF(AF156="","",$AF$5&amp;":"&amp;AF156&amp;";")&amp;IF(AG156="","",$AG$5&amp;":"&amp;AG156&amp;";")&amp;IF(AH156="","",$AH$5&amp;":"&amp;AH156&amp;";")&amp;IF(AI156="","",$AI$5&amp;":"&amp;AI156&amp;";")&amp;IF(AJ156="","",$AJ$5&amp;":"&amp;AJ156&amp;";")&amp;IF(AK156="","",$AK$5&amp;":"&amp;AK156&amp;";")&amp;IF(AL156="","",$AL$5&amp;":"&amp;AL156&amp;";")&amp;IF(AM156="","",$AM$5&amp;":"&amp;AM156&amp;";")&amp;IF(AN156="","",$AN$5&amp;":"&amp;AN156&amp;";")&amp;IF(AO156="","",$AO$5&amp;":"&amp;AO156&amp;";")&amp;IF(AP156="","",$AP$5&amp;":"&amp;AP156&amp;";")&amp;IF(AQ156="","",$AQ$5&amp;":"&amp;AQ156&amp;";")&amp;IF(AR156="","",$AR$5&amp;":"&amp;AR156&amp;";")&amp;IF(AS156="","",$AS$5&amp;":"&amp;AS156&amp;";")&amp;IF(AT156="","",$AT$5&amp;":"&amp;AT156&amp;";")&amp;IF(AU156="","",$AU$5&amp;":"&amp;AU156&amp;";")</f>
        <v>LUC:1,524;CLN:0,17;SON:0,63;</v>
      </c>
      <c r="M156" s="203">
        <v>1.524</v>
      </c>
      <c r="N156" s="203"/>
      <c r="O156" s="203"/>
      <c r="P156" s="203">
        <v>0.17</v>
      </c>
      <c r="Q156" s="203"/>
      <c r="R156" s="203"/>
      <c r="S156" s="203"/>
      <c r="T156" s="203"/>
      <c r="U156" s="203"/>
      <c r="V156" s="203"/>
      <c r="W156" s="203"/>
      <c r="X156" s="203"/>
      <c r="Y156" s="203"/>
      <c r="Z156" s="203"/>
      <c r="AA156" s="203"/>
      <c r="AB156" s="203"/>
      <c r="AC156" s="203"/>
      <c r="AD156" s="203"/>
      <c r="AE156" s="203"/>
      <c r="AF156" s="203"/>
      <c r="AG156" s="203"/>
      <c r="AH156" s="203"/>
      <c r="AI156" s="203"/>
      <c r="AJ156" s="203"/>
      <c r="AK156" s="203"/>
      <c r="AL156" s="203"/>
      <c r="AM156" s="203"/>
      <c r="AN156" s="203"/>
      <c r="AO156" s="203"/>
      <c r="AP156" s="203"/>
      <c r="AQ156" s="203">
        <v>0.63</v>
      </c>
      <c r="AR156" s="203"/>
      <c r="AS156" s="203"/>
      <c r="AT156" s="203"/>
      <c r="AU156" s="203"/>
      <c r="AV156" s="338" t="s">
        <v>258</v>
      </c>
      <c r="AW156" s="338" t="s">
        <v>258</v>
      </c>
      <c r="AX156" s="350" t="s">
        <v>330</v>
      </c>
      <c r="AY156" s="356" t="s">
        <v>330</v>
      </c>
      <c r="AZ156" s="352" t="s">
        <v>1222</v>
      </c>
      <c r="BA156" s="350"/>
      <c r="BB156" s="616"/>
      <c r="BC156" s="195" t="s">
        <v>270</v>
      </c>
      <c r="BD156" s="195"/>
      <c r="BE156" s="195"/>
      <c r="BF156" s="195" t="s">
        <v>263</v>
      </c>
      <c r="BG156" s="195"/>
      <c r="BH156" s="350"/>
    </row>
    <row r="157" spans="1:62" ht="42" customHeight="1">
      <c r="A157" s="611"/>
      <c r="B157" s="613"/>
      <c r="C157" s="614"/>
      <c r="D157" s="615"/>
      <c r="E157" s="617"/>
      <c r="F157" s="203">
        <v>0.83</v>
      </c>
      <c r="G157" s="414">
        <f>SUM(M157:AR157)</f>
        <v>0.83000000000000007</v>
      </c>
      <c r="H157" s="413" t="s">
        <v>1217</v>
      </c>
      <c r="I157" s="413" t="s">
        <v>1223</v>
      </c>
      <c r="J157" s="413" t="s">
        <v>1224</v>
      </c>
      <c r="K157" s="413" t="str">
        <f>IF(M157&lt;&gt;0,$M$5&amp;", ","")&amp;IF(N157&lt;&gt;0,$N$5&amp;", ","")&amp;IF(O157&lt;&gt;0,O$5&amp;", ","")&amp;IF(P157&lt;&gt;0,P$5&amp;", ","")&amp;IF(Q157&lt;&gt;0,Q$5&amp;", ","")&amp;IF(R157&lt;&gt;0,R$5&amp;", ","")&amp;IF(S157&lt;&gt;0,S$5&amp;", ","")&amp;IF(T157&lt;&gt;0,T$5&amp;", ","")&amp;IF(U157&lt;&gt;0,U$5&amp;", ","")&amp;IF(V157&lt;&gt;0,V$5&amp;", ","")&amp;IF(W157&lt;&gt;0,W$5&amp;", ","")&amp;IF(X157&lt;&gt;0,X$5&amp;", ","")&amp;IF(Y157&lt;&gt;0,Y$5&amp;", ","")&amp;IF(Z157&lt;&gt;0,Z$5&amp;", ","")&amp;IF(AA157&lt;&gt;0,AA$5&amp;", ","")&amp;IF(AB157&lt;&gt;0,AB$5&amp;", ","")&amp;IF(AC157&lt;&gt;0,AC$5&amp;", ","")&amp;IF(AD157&lt;&gt;0,AD$5&amp;", ","")&amp;IF(AE157&lt;&gt;0,AE$5&amp;", ","")&amp;IF(AF157&lt;&gt;0,AF$5&amp;", ","")&amp;IF(AG157&lt;&gt;0,AG$5&amp;", ","")&amp;IF(AH157&lt;&gt;0,AH$5&amp;", ","")&amp;IF(AI157&lt;&gt;0,AI$5&amp;", ","")&amp;IF(AJ157&lt;&gt;0,AJ$5&amp;", ","")&amp;IF(AK157&lt;&gt;0,AK$5&amp;", ","")&amp;IF(AL157&lt;&gt;0,AL$5&amp;", ","")&amp;IF(AM157&lt;&gt;0,AM$5&amp;", ","")&amp;IF(AN157&lt;&gt;0,AN$5&amp;", ","")&amp;IF(AO157&lt;&gt;0,AO$5&amp;", ","")&amp;IF(AP157&lt;&gt;0,AP$5&amp;", ","")&amp;IF(AQ157&lt;&gt;0,AQ$5&amp;", ","")&amp;IF(AR157&lt;&gt;0,AR$5,"")&amp;IF(AS157&lt;&gt;0,AS$5,"")&amp;IF(AT157&lt;&gt;0,AT$5,"")&amp;IF(AU157&lt;&gt;0,AU$5,"")</f>
        <v xml:space="preserve">ODT, SON, </v>
      </c>
      <c r="L157" s="413" t="str">
        <f>IF(M157="","",$M$5&amp;":"&amp;M157&amp;";")&amp;IF(N157="","",$N$5&amp;":"&amp;N157&amp;";")&amp;IF(O157="","",$O$5&amp;":"&amp;O157&amp;";")&amp;IF(P157="","",$P$5&amp;":"&amp;P157&amp;";")&amp;IF(Q157="","",$Q$5&amp;":"&amp;Q157&amp;";")&amp;IF(R157="","",$R$5&amp;":"&amp;R157&amp;";")&amp;IF(S157="","",$S$5&amp;":"&amp;S157&amp;";")&amp;IF(T157="","",$T$5&amp;":"&amp;T157&amp;";")&amp;IF(U157="","",$U$5&amp;":"&amp;U157&amp;";")&amp;IF(V157="","",$V$5&amp;":"&amp;V157&amp;";")&amp;IF(W157="","",$W$5&amp;":"&amp;W157&amp;";")&amp;IF(X157="","",$X$5&amp;":"&amp;X157&amp;";")&amp;IF(Y157="","",$Y$5&amp;":"&amp;Y157&amp;";")&amp;IF(Z157="","",$Z$5&amp;":"&amp;Z157&amp;";")&amp;IF(AA157="","",$AA$5&amp;":"&amp;AA157&amp;";")&amp;IF(AB157="","",$AB$5&amp;":"&amp;AB157&amp;";")&amp;IF(AC157="","",$AC$5&amp;":"&amp;AC157&amp;";")&amp;IF(AD157="","",$AD$5&amp;":"&amp;AD157&amp;";")&amp;IF(AE157="","",$AE$5&amp;":"&amp;AE157&amp;";")&amp;IF(AF157="","",$AF$5&amp;":"&amp;AF157&amp;";")&amp;IF(AG157="","",$AG$5&amp;":"&amp;AG157&amp;";")&amp;IF(AH157="","",$AH$5&amp;":"&amp;AH157&amp;";")&amp;IF(AI157="","",$AI$5&amp;":"&amp;AI157&amp;";")&amp;IF(AJ157="","",$AJ$5&amp;":"&amp;AJ157&amp;";")&amp;IF(AK157="","",$AK$5&amp;":"&amp;AK157&amp;";")&amp;IF(AL157="","",$AL$5&amp;":"&amp;AL157&amp;";")&amp;IF(AM157="","",$AM$5&amp;":"&amp;AM157&amp;";")&amp;IF(AN157="","",$AN$5&amp;":"&amp;AN157&amp;";")&amp;IF(AO157="","",$AO$5&amp;":"&amp;AO157&amp;";")&amp;IF(AP157="","",$AP$5&amp;":"&amp;AP157&amp;";")&amp;IF(AQ157="","",$AQ$5&amp;":"&amp;AQ157&amp;";")&amp;IF(AR157="","",$AR$5&amp;":"&amp;AR157&amp;";")&amp;IF(AS157="","",$AS$5&amp;":"&amp;AS157&amp;";")&amp;IF(AT157="","",$AT$5&amp;":"&amp;AT157&amp;";")&amp;IF(AU157="","",$AU$5&amp;":"&amp;AU157&amp;";")</f>
        <v>ODT:0,07;SON:0,76;</v>
      </c>
      <c r="M157" s="203"/>
      <c r="N157" s="203"/>
      <c r="O157" s="203"/>
      <c r="P157" s="203"/>
      <c r="Q157" s="203"/>
      <c r="R157" s="203"/>
      <c r="S157" s="203"/>
      <c r="T157" s="203"/>
      <c r="U157" s="203"/>
      <c r="V157" s="203"/>
      <c r="W157" s="203"/>
      <c r="X157" s="203"/>
      <c r="Y157" s="203"/>
      <c r="Z157" s="203"/>
      <c r="AA157" s="203"/>
      <c r="AB157" s="203"/>
      <c r="AC157" s="203"/>
      <c r="AD157" s="203"/>
      <c r="AE157" s="203"/>
      <c r="AF157" s="203"/>
      <c r="AG157" s="203"/>
      <c r="AH157" s="203"/>
      <c r="AI157" s="203"/>
      <c r="AJ157" s="203"/>
      <c r="AK157" s="203"/>
      <c r="AL157" s="203"/>
      <c r="AM157" s="203">
        <v>7.0000000000000007E-2</v>
      </c>
      <c r="AN157" s="203"/>
      <c r="AO157" s="203"/>
      <c r="AP157" s="203"/>
      <c r="AQ157" s="203">
        <v>0.76</v>
      </c>
      <c r="AR157" s="203"/>
      <c r="AS157" s="203"/>
      <c r="AT157" s="203"/>
      <c r="AU157" s="203"/>
      <c r="AV157" s="338" t="s">
        <v>217</v>
      </c>
      <c r="AW157" s="338" t="s">
        <v>217</v>
      </c>
      <c r="AX157" s="351" t="s">
        <v>1225</v>
      </c>
      <c r="AY157" s="260" t="s">
        <v>1225</v>
      </c>
      <c r="AZ157" s="352" t="s">
        <v>1226</v>
      </c>
      <c r="BA157" s="350"/>
      <c r="BB157" s="616"/>
      <c r="BC157" s="195" t="s">
        <v>270</v>
      </c>
      <c r="BD157" s="195"/>
      <c r="BE157" s="195"/>
      <c r="BF157" s="195" t="s">
        <v>263</v>
      </c>
      <c r="BG157" s="195"/>
      <c r="BH157" s="350"/>
    </row>
    <row r="158" spans="1:62" ht="42" customHeight="1">
      <c r="A158" s="344">
        <f>SUBTOTAL(3,C$11:$C158)</f>
        <v>108</v>
      </c>
      <c r="B158" s="337" t="s">
        <v>462</v>
      </c>
      <c r="C158" s="338" t="s">
        <v>46</v>
      </c>
      <c r="D158" s="361">
        <v>0.39</v>
      </c>
      <c r="E158" s="366"/>
      <c r="F158" s="361">
        <v>0.39</v>
      </c>
      <c r="G158" s="414">
        <f>SUM(M158:AR158)</f>
        <v>0.3899861617813562</v>
      </c>
      <c r="H158" s="413" t="s">
        <v>1215</v>
      </c>
      <c r="I158" s="413" t="s">
        <v>1017</v>
      </c>
      <c r="J158" s="413"/>
      <c r="K158" s="413" t="str">
        <f>IF(M158&lt;&gt;0,$M$5&amp;", ","")&amp;IF(N158&lt;&gt;0,$N$5&amp;", ","")&amp;IF(O158&lt;&gt;0,O$5&amp;", ","")&amp;IF(P158&lt;&gt;0,P$5&amp;", ","")&amp;IF(Q158&lt;&gt;0,Q$5&amp;", ","")&amp;IF(R158&lt;&gt;0,R$5&amp;", ","")&amp;IF(S158&lt;&gt;0,S$5&amp;", ","")&amp;IF(T158&lt;&gt;0,T$5&amp;", ","")&amp;IF(U158&lt;&gt;0,U$5&amp;", ","")&amp;IF(V158&lt;&gt;0,V$5&amp;", ","")&amp;IF(W158&lt;&gt;0,W$5&amp;", ","")&amp;IF(X158&lt;&gt;0,X$5&amp;", ","")&amp;IF(Y158&lt;&gt;0,Y$5&amp;", ","")&amp;IF(Z158&lt;&gt;0,Z$5&amp;", ","")&amp;IF(AA158&lt;&gt;0,AA$5&amp;", ","")&amp;IF(AB158&lt;&gt;0,AB$5&amp;", ","")&amp;IF(AC158&lt;&gt;0,AC$5&amp;", ","")&amp;IF(AD158&lt;&gt;0,AD$5&amp;", ","")&amp;IF(AE158&lt;&gt;0,AE$5&amp;", ","")&amp;IF(AF158&lt;&gt;0,AF$5&amp;", ","")&amp;IF(AG158&lt;&gt;0,AG$5&amp;", ","")&amp;IF(AH158&lt;&gt;0,AH$5&amp;", ","")&amp;IF(AI158&lt;&gt;0,AI$5&amp;", ","")&amp;IF(AJ158&lt;&gt;0,AJ$5&amp;", ","")&amp;IF(AK158&lt;&gt;0,AK$5&amp;", ","")&amp;IF(AL158&lt;&gt;0,AL$5&amp;", ","")&amp;IF(AM158&lt;&gt;0,AM$5&amp;", ","")&amp;IF(AN158&lt;&gt;0,AN$5&amp;", ","")&amp;IF(AO158&lt;&gt;0,AO$5&amp;", ","")&amp;IF(AP158&lt;&gt;0,AP$5&amp;", ","")&amp;IF(AQ158&lt;&gt;0,AQ$5&amp;", ","")&amp;IF(AR158&lt;&gt;0,AR$5,"")&amp;IF(AS158&lt;&gt;0,AS$5,"")&amp;IF(AT158&lt;&gt;0,AT$5,"")&amp;IF(AU158&lt;&gt;0,AU$5,"")</f>
        <v xml:space="preserve">LUC, HNK, NTD, </v>
      </c>
      <c r="L158" s="413" t="str">
        <f>IF(M158="","",$M$5&amp;":"&amp;M158&amp;";")&amp;IF(N158="","",$N$5&amp;":"&amp;N158&amp;";")&amp;IF(O158="","",$O$5&amp;":"&amp;O158&amp;";")&amp;IF(P158="","",$P$5&amp;":"&amp;P158&amp;";")&amp;IF(Q158="","",$Q$5&amp;":"&amp;Q158&amp;";")&amp;IF(R158="","",$R$5&amp;":"&amp;R158&amp;";")&amp;IF(S158="","",$S$5&amp;":"&amp;S158&amp;";")&amp;IF(T158="","",$T$5&amp;":"&amp;T158&amp;";")&amp;IF(U158="","",$U$5&amp;":"&amp;U158&amp;";")&amp;IF(V158="","",$V$5&amp;":"&amp;V158&amp;";")&amp;IF(W158="","",$W$5&amp;":"&amp;W158&amp;";")&amp;IF(X158="","",$X$5&amp;":"&amp;X158&amp;";")&amp;IF(Y158="","",$Y$5&amp;":"&amp;Y158&amp;";")&amp;IF(Z158="","",$Z$5&amp;":"&amp;Z158&amp;";")&amp;IF(AA158="","",$AA$5&amp;":"&amp;AA158&amp;";")&amp;IF(AB158="","",$AB$5&amp;":"&amp;AB158&amp;";")&amp;IF(AC158="","",$AC$5&amp;":"&amp;AC158&amp;";")&amp;IF(AD158="","",$AD$5&amp;":"&amp;AD158&amp;";")&amp;IF(AE158="","",$AE$5&amp;":"&amp;AE158&amp;";")&amp;IF(AF158="","",$AF$5&amp;":"&amp;AF158&amp;";")&amp;IF(AG158="","",$AG$5&amp;":"&amp;AG158&amp;";")&amp;IF(AH158="","",$AH$5&amp;":"&amp;AH158&amp;";")&amp;IF(AI158="","",$AI$5&amp;":"&amp;AI158&amp;";")&amp;IF(AJ158="","",$AJ$5&amp;":"&amp;AJ158&amp;";")&amp;IF(AK158="","",$AK$5&amp;":"&amp;AK158&amp;";")&amp;IF(AL158="","",$AL$5&amp;":"&amp;AL158&amp;";")&amp;IF(AM158="","",$AM$5&amp;":"&amp;AM158&amp;";")&amp;IF(AN158="","",$AN$5&amp;":"&amp;AN158&amp;";")&amp;IF(AO158="","",$AO$5&amp;":"&amp;AO158&amp;";")&amp;IF(AP158="","",$AP$5&amp;":"&amp;AP158&amp;";")&amp;IF(AQ158="","",$AQ$5&amp;":"&amp;AQ158&amp;";")&amp;IF(AR158="","",$AR$5&amp;":"&amp;AR158&amp;";")&amp;IF(AS158="","",$AS$5&amp;":"&amp;AS158&amp;";")&amp;IF(AT158="","",$AT$5&amp;":"&amp;AT158&amp;";")&amp;IF(AU158="","",$AU$5&amp;":"&amp;AU158&amp;";")</f>
        <v>LUC:0,289344571644232;HNK:0,025160397534281;NTD:0,0754811926028431;</v>
      </c>
      <c r="M158" s="361">
        <f>0.23/79.49%</f>
        <v>0.289344571644232</v>
      </c>
      <c r="N158" s="361"/>
      <c r="O158" s="361">
        <f>0.02/79.49%</f>
        <v>2.5160397534281044E-2</v>
      </c>
      <c r="P158" s="361"/>
      <c r="Q158" s="361"/>
      <c r="R158" s="361"/>
      <c r="S158" s="361"/>
      <c r="T158" s="361"/>
      <c r="U158" s="361"/>
      <c r="V158" s="361"/>
      <c r="W158" s="361"/>
      <c r="X158" s="361"/>
      <c r="Y158" s="361"/>
      <c r="Z158" s="361"/>
      <c r="AA158" s="361"/>
      <c r="AB158" s="361"/>
      <c r="AC158" s="361"/>
      <c r="AD158" s="361"/>
      <c r="AE158" s="361"/>
      <c r="AF158" s="361"/>
      <c r="AG158" s="361"/>
      <c r="AH158" s="361">
        <f>0.06/79.49%</f>
        <v>7.5481192602843125E-2</v>
      </c>
      <c r="AI158" s="361"/>
      <c r="AJ158" s="361"/>
      <c r="AK158" s="361"/>
      <c r="AL158" s="361"/>
      <c r="AM158" s="361"/>
      <c r="AN158" s="361"/>
      <c r="AO158" s="361"/>
      <c r="AP158" s="361"/>
      <c r="AQ158" s="361"/>
      <c r="AR158" s="361"/>
      <c r="AS158" s="361"/>
      <c r="AT158" s="361"/>
      <c r="AU158" s="361"/>
      <c r="AV158" s="338" t="s">
        <v>217</v>
      </c>
      <c r="AW158" s="338" t="s">
        <v>217</v>
      </c>
      <c r="AX158" s="351" t="s">
        <v>832</v>
      </c>
      <c r="AY158" s="260" t="s">
        <v>832</v>
      </c>
      <c r="AZ158" s="352" t="s">
        <v>1216</v>
      </c>
      <c r="BA158" s="350"/>
      <c r="BB158" s="350"/>
      <c r="BC158" s="195" t="s">
        <v>270</v>
      </c>
      <c r="BD158" s="195"/>
      <c r="BE158" s="195"/>
      <c r="BF158" s="195" t="s">
        <v>263</v>
      </c>
      <c r="BG158" s="195"/>
      <c r="BH158" s="350"/>
    </row>
    <row r="159" spans="1:62" ht="42" customHeight="1">
      <c r="A159" s="344">
        <f>SUBTOTAL(3,C$11:$C159)</f>
        <v>109</v>
      </c>
      <c r="B159" s="337" t="s">
        <v>476</v>
      </c>
      <c r="C159" s="338" t="s">
        <v>46</v>
      </c>
      <c r="D159" s="361">
        <v>0.6</v>
      </c>
      <c r="E159" s="366"/>
      <c r="F159" s="361">
        <v>0.6</v>
      </c>
      <c r="G159" s="414">
        <f t="shared" ref="G159" si="16">SUM(M159:AR159)</f>
        <v>0.6</v>
      </c>
      <c r="H159" s="413" t="s">
        <v>18</v>
      </c>
      <c r="I159" s="413" t="s">
        <v>18</v>
      </c>
      <c r="J159" s="413"/>
      <c r="K159" s="413" t="str">
        <f>IF(M159&lt;&gt;0,$M$5&amp;", ","")&amp;IF(N159&lt;&gt;0,$N$5&amp;", ","")&amp;IF(O159&lt;&gt;0,O$5&amp;", ","")&amp;IF(P159&lt;&gt;0,P$5&amp;", ","")&amp;IF(Q159&lt;&gt;0,Q$5&amp;", ","")&amp;IF(R159&lt;&gt;0,R$5&amp;", ","")&amp;IF(S159&lt;&gt;0,S$5&amp;", ","")&amp;IF(T159&lt;&gt;0,T$5&amp;", ","")&amp;IF(U159&lt;&gt;0,U$5&amp;", ","")&amp;IF(V159&lt;&gt;0,V$5&amp;", ","")&amp;IF(W159&lt;&gt;0,W$5&amp;", ","")&amp;IF(X159&lt;&gt;0,X$5&amp;", ","")&amp;IF(Y159&lt;&gt;0,Y$5&amp;", ","")&amp;IF(Z159&lt;&gt;0,Z$5&amp;", ","")&amp;IF(AA159&lt;&gt;0,AA$5&amp;", ","")&amp;IF(AB159&lt;&gt;0,AB$5&amp;", ","")&amp;IF(AC159&lt;&gt;0,AC$5&amp;", ","")&amp;IF(AD159&lt;&gt;0,AD$5&amp;", ","")&amp;IF(AE159&lt;&gt;0,AE$5&amp;", ","")&amp;IF(AF159&lt;&gt;0,AF$5&amp;", ","")&amp;IF(AG159&lt;&gt;0,AG$5&amp;", ","")&amp;IF(AH159&lt;&gt;0,AH$5&amp;", ","")&amp;IF(AI159&lt;&gt;0,AI$5&amp;", ","")&amp;IF(AJ159&lt;&gt;0,AJ$5&amp;", ","")&amp;IF(AK159&lt;&gt;0,AK$5&amp;", ","")&amp;IF(AL159&lt;&gt;0,AL$5&amp;", ","")&amp;IF(AM159&lt;&gt;0,AM$5&amp;", ","")&amp;IF(AN159&lt;&gt;0,AN$5&amp;", ","")&amp;IF(AO159&lt;&gt;0,AO$5&amp;", ","")&amp;IF(AP159&lt;&gt;0,AP$5&amp;", ","")&amp;IF(AQ159&lt;&gt;0,AQ$5&amp;", ","")&amp;IF(AR159&lt;&gt;0,AR$5,"")&amp;IF(AS159&lt;&gt;0,AS$5,"")&amp;IF(AT159&lt;&gt;0,AT$5,"")&amp;IF(AU159&lt;&gt;0,AU$5,"")</f>
        <v xml:space="preserve">NTS, </v>
      </c>
      <c r="L159" s="413" t="str">
        <f t="shared" ref="L159" si="17">IF(M159="","",$M$5&amp;":"&amp;M159&amp;";")&amp;IF(N159="","",$N$5&amp;":"&amp;N159&amp;";")&amp;IF(O159="","",$O$5&amp;":"&amp;O159&amp;";")&amp;IF(P159="","",$P$5&amp;":"&amp;P159&amp;";")&amp;IF(Q159="","",$Q$5&amp;":"&amp;Q159&amp;";")&amp;IF(R159="","",$R$5&amp;":"&amp;R159&amp;";")&amp;IF(S159="","",$S$5&amp;":"&amp;S159&amp;";")&amp;IF(T159="","",$T$5&amp;":"&amp;T159&amp;";")&amp;IF(U159="","",$U$5&amp;":"&amp;U159&amp;";")&amp;IF(V159="","",$V$5&amp;":"&amp;V159&amp;";")&amp;IF(W159="","",$W$5&amp;":"&amp;W159&amp;";")&amp;IF(X159="","",$X$5&amp;":"&amp;X159&amp;";")&amp;IF(Y159="","",$Y$5&amp;":"&amp;Y159&amp;";")&amp;IF(Z159="","",$Z$5&amp;":"&amp;Z159&amp;";")&amp;IF(AA159="","",$AA$5&amp;":"&amp;AA159&amp;";")&amp;IF(AB159="","",$AB$5&amp;":"&amp;AB159&amp;";")&amp;IF(AC159="","",$AC$5&amp;":"&amp;AC159&amp;";")&amp;IF(AD159="","",$AD$5&amp;":"&amp;AD159&amp;";")&amp;IF(AE159="","",$AE$5&amp;":"&amp;AE159&amp;";")&amp;IF(AF159="","",$AF$5&amp;":"&amp;AF159&amp;";")&amp;IF(AG159="","",$AG$5&amp;":"&amp;AG159&amp;";")&amp;IF(AH159="","",$AH$5&amp;":"&amp;AH159&amp;";")&amp;IF(AI159="","",$AI$5&amp;":"&amp;AI159&amp;";")&amp;IF(AJ159="","",$AJ$5&amp;":"&amp;AJ159&amp;";")&amp;IF(AK159="","",$AK$5&amp;":"&amp;AK159&amp;";")&amp;IF(AL159="","",$AL$5&amp;":"&amp;AL159&amp;";")&amp;IF(AM159="","",$AM$5&amp;":"&amp;AM159&amp;";")&amp;IF(AN159="","",$AN$5&amp;":"&amp;AN159&amp;";")&amp;IF(AO159="","",$AO$5&amp;":"&amp;AO159&amp;";")&amp;IF(AP159="","",$AP$5&amp;":"&amp;AP159&amp;";")&amp;IF(AQ159="","",$AQ$5&amp;":"&amp;AQ159&amp;";")&amp;IF(AR159="","",$AR$5&amp;":"&amp;AR159&amp;";")&amp;IF(AS159="","",$AS$5&amp;":"&amp;AS159&amp;";")&amp;IF(AT159="","",$AT$5&amp;":"&amp;AT159&amp;";")&amp;IF(AU159="","",$AU$5&amp;":"&amp;AU159&amp;";")</f>
        <v>NTS:0,6;</v>
      </c>
      <c r="M159" s="361"/>
      <c r="N159" s="361"/>
      <c r="O159" s="361"/>
      <c r="P159" s="361"/>
      <c r="Q159" s="361">
        <v>0.6</v>
      </c>
      <c r="R159" s="361"/>
      <c r="S159" s="361"/>
      <c r="T159" s="361"/>
      <c r="U159" s="361"/>
      <c r="V159" s="361"/>
      <c r="W159" s="361"/>
      <c r="X159" s="361"/>
      <c r="Y159" s="361"/>
      <c r="Z159" s="361"/>
      <c r="AA159" s="361"/>
      <c r="AB159" s="361"/>
      <c r="AC159" s="361"/>
      <c r="AD159" s="361"/>
      <c r="AE159" s="361"/>
      <c r="AF159" s="361"/>
      <c r="AG159" s="361"/>
      <c r="AH159" s="361"/>
      <c r="AI159" s="361"/>
      <c r="AJ159" s="361"/>
      <c r="AK159" s="361"/>
      <c r="AL159" s="361"/>
      <c r="AM159" s="361"/>
      <c r="AN159" s="361"/>
      <c r="AO159" s="361"/>
      <c r="AP159" s="361"/>
      <c r="AQ159" s="361"/>
      <c r="AR159" s="361"/>
      <c r="AS159" s="361"/>
      <c r="AT159" s="361"/>
      <c r="AU159" s="361"/>
      <c r="AV159" s="338" t="s">
        <v>286</v>
      </c>
      <c r="AW159" s="338" t="s">
        <v>286</v>
      </c>
      <c r="AX159" s="350" t="s">
        <v>477</v>
      </c>
      <c r="AY159" s="356" t="s">
        <v>477</v>
      </c>
      <c r="AZ159" s="352" t="s">
        <v>1233</v>
      </c>
      <c r="BA159" s="350"/>
      <c r="BB159" s="350"/>
      <c r="BC159" s="195" t="s">
        <v>267</v>
      </c>
      <c r="BD159" s="195"/>
      <c r="BE159" s="195"/>
      <c r="BF159" s="195" t="s">
        <v>263</v>
      </c>
      <c r="BG159" s="195"/>
      <c r="BH159" s="350"/>
    </row>
    <row r="160" spans="1:62" ht="25" customHeight="1">
      <c r="A160" s="151" t="s">
        <v>1721</v>
      </c>
      <c r="B160" s="159" t="s">
        <v>111</v>
      </c>
      <c r="C160" s="158"/>
      <c r="D160" s="351"/>
      <c r="E160" s="351"/>
      <c r="F160" s="351"/>
      <c r="G160" s="414"/>
      <c r="H160" s="413"/>
      <c r="I160" s="413"/>
      <c r="J160" s="413"/>
      <c r="K160" s="413" t="str">
        <f>IF(M160&lt;&gt;0,$M$5&amp;", ","")&amp;IF(N160&lt;&gt;0,$N$5&amp;", ","")&amp;IF(O160&lt;&gt;0,O$5&amp;", ","")&amp;IF(P160&lt;&gt;0,P$5&amp;", ","")&amp;IF(Q160&lt;&gt;0,Q$5&amp;", ","")&amp;IF(R160&lt;&gt;0,R$5&amp;", ","")&amp;IF(S160&lt;&gt;0,S$5&amp;", ","")&amp;IF(T160&lt;&gt;0,T$5&amp;", ","")&amp;IF(U160&lt;&gt;0,U$5&amp;", ","")&amp;IF(V160&lt;&gt;0,V$5&amp;", ","")&amp;IF(W160&lt;&gt;0,W$5&amp;", ","")&amp;IF(X160&lt;&gt;0,X$5&amp;", ","")&amp;IF(Y160&lt;&gt;0,Y$5&amp;", ","")&amp;IF(Z160&lt;&gt;0,Z$5&amp;", ","")&amp;IF(AA160&lt;&gt;0,AA$5&amp;", ","")&amp;IF(AB160&lt;&gt;0,AB$5&amp;", ","")&amp;IF(AC160&lt;&gt;0,AC$5&amp;", ","")&amp;IF(AD160&lt;&gt;0,AD$5&amp;", ","")&amp;IF(AE160&lt;&gt;0,AE$5&amp;", ","")&amp;IF(AF160&lt;&gt;0,AF$5&amp;", ","")&amp;IF(AG160&lt;&gt;0,AG$5&amp;", ","")&amp;IF(AH160&lt;&gt;0,AH$5&amp;", ","")&amp;IF(AI160&lt;&gt;0,AI$5&amp;", ","")&amp;IF(AJ160&lt;&gt;0,AJ$5&amp;", ","")&amp;IF(AK160&lt;&gt;0,AK$5&amp;", ","")&amp;IF(AL160&lt;&gt;0,AL$5&amp;", ","")&amp;IF(AM160&lt;&gt;0,AM$5&amp;", ","")&amp;IF(AN160&lt;&gt;0,AN$5&amp;", ","")&amp;IF(AO160&lt;&gt;0,AO$5&amp;", ","")&amp;IF(AP160&lt;&gt;0,AP$5&amp;", ","")&amp;IF(AQ160&lt;&gt;0,AQ$5&amp;", ","")&amp;IF(AR160&lt;&gt;0,AR$5,"")&amp;IF(AS160&lt;&gt;0,AS$5,"")&amp;IF(AT160&lt;&gt;0,AT$5,"")&amp;IF(AU160&lt;&gt;0,AU$5,"")</f>
        <v/>
      </c>
      <c r="L160" s="413" t="str">
        <f>IF(M160="","",$M$5&amp;":"&amp;M160&amp;";")&amp;IF(N160="","",$N$5&amp;":"&amp;N160&amp;";")&amp;IF(O160="","",$O$5&amp;":"&amp;O160&amp;";")&amp;IF(P160="","",$P$5&amp;":"&amp;P160&amp;";")&amp;IF(Q160="","",$Q$5&amp;":"&amp;Q160&amp;";")&amp;IF(R160="","",$R$5&amp;":"&amp;R160&amp;";")&amp;IF(S160="","",$S$5&amp;":"&amp;S160&amp;";")&amp;IF(T160="","",$T$5&amp;":"&amp;T160&amp;";")&amp;IF(U160="","",$U$5&amp;":"&amp;U160&amp;";")&amp;IF(V160="","",$V$5&amp;":"&amp;V160&amp;";")&amp;IF(W160="","",$W$5&amp;":"&amp;W160&amp;";")&amp;IF(X160="","",$X$5&amp;":"&amp;X160&amp;";")&amp;IF(Y160="","",$Y$5&amp;":"&amp;Y160&amp;";")&amp;IF(Z160="","",$Z$5&amp;":"&amp;Z160&amp;";")&amp;IF(AA160="","",$AA$5&amp;":"&amp;AA160&amp;";")&amp;IF(AB160="","",$AB$5&amp;":"&amp;AB160&amp;";")&amp;IF(AC160="","",$AC$5&amp;":"&amp;AC160&amp;";")&amp;IF(AD160="","",$AD$5&amp;":"&amp;AD160&amp;";")&amp;IF(AE160="","",$AE$5&amp;":"&amp;AE160&amp;";")&amp;IF(AF160="","",$AF$5&amp;":"&amp;AF160&amp;";")&amp;IF(AG160="","",$AG$5&amp;":"&amp;AG160&amp;";")&amp;IF(AH160="","",$AH$5&amp;":"&amp;AH160&amp;";")&amp;IF(AI160="","",$AI$5&amp;":"&amp;AI160&amp;";")&amp;IF(AJ160="","",$AJ$5&amp;":"&amp;AJ160&amp;";")&amp;IF(AK160="","",$AK$5&amp;":"&amp;AK160&amp;";")&amp;IF(AL160="","",$AL$5&amp;":"&amp;AL160&amp;";")&amp;IF(AM160="","",$AM$5&amp;":"&amp;AM160&amp;";")&amp;IF(AN160="","",$AN$5&amp;":"&amp;AN160&amp;";")&amp;IF(AO160="","",$AO$5&amp;":"&amp;AO160&amp;";")&amp;IF(AP160="","",$AP$5&amp;":"&amp;AP160&amp;";")&amp;IF(AQ160="","",$AQ$5&amp;":"&amp;AQ160&amp;";")&amp;IF(AR160="","",$AR$5&amp;":"&amp;AR160&amp;";")&amp;IF(AS160="","",$AS$5&amp;":"&amp;AS160&amp;";")&amp;IF(AT160="","",$AT$5&amp;":"&amp;AT160&amp;";")&amp;IF(AU160="","",$AU$5&amp;":"&amp;AU160&amp;";")</f>
        <v/>
      </c>
      <c r="M160" s="351"/>
      <c r="N160" s="351"/>
      <c r="O160" s="351"/>
      <c r="P160" s="351"/>
      <c r="Q160" s="351"/>
      <c r="R160" s="351"/>
      <c r="S160" s="351"/>
      <c r="T160" s="351"/>
      <c r="U160" s="351"/>
      <c r="V160" s="351"/>
      <c r="W160" s="351"/>
      <c r="X160" s="351"/>
      <c r="Y160" s="351"/>
      <c r="Z160" s="351"/>
      <c r="AA160" s="351"/>
      <c r="AB160" s="351"/>
      <c r="AC160" s="351"/>
      <c r="AD160" s="351"/>
      <c r="AE160" s="351"/>
      <c r="AF160" s="351"/>
      <c r="AG160" s="351"/>
      <c r="AH160" s="351"/>
      <c r="AI160" s="351"/>
      <c r="AJ160" s="351"/>
      <c r="AK160" s="351"/>
      <c r="AL160" s="351"/>
      <c r="AM160" s="351"/>
      <c r="AN160" s="351"/>
      <c r="AO160" s="351"/>
      <c r="AP160" s="351"/>
      <c r="AQ160" s="351"/>
      <c r="AR160" s="351"/>
      <c r="AS160" s="351"/>
      <c r="AT160" s="351"/>
      <c r="AU160" s="351"/>
      <c r="AV160" s="351"/>
      <c r="AW160" s="351"/>
      <c r="AX160" s="351"/>
      <c r="AY160" s="260"/>
      <c r="AZ160" s="181"/>
      <c r="BA160" s="351"/>
      <c r="BB160" s="351"/>
      <c r="BC160" s="156"/>
      <c r="BD160" s="156"/>
      <c r="BE160" s="156"/>
      <c r="BF160" s="156"/>
      <c r="BG160" s="156"/>
      <c r="BH160" s="351"/>
    </row>
    <row r="161" spans="1:62" s="179" customFormat="1" ht="24.65" customHeight="1">
      <c r="A161" s="145"/>
      <c r="B161" s="163" t="s">
        <v>1757</v>
      </c>
      <c r="C161" s="164"/>
      <c r="D161" s="368"/>
      <c r="E161" s="368"/>
      <c r="F161" s="368"/>
      <c r="G161" s="410"/>
      <c r="H161" s="411"/>
      <c r="I161" s="411"/>
      <c r="J161" s="411"/>
      <c r="K161" s="411"/>
      <c r="L161" s="411"/>
      <c r="M161" s="368"/>
      <c r="N161" s="368"/>
      <c r="O161" s="368"/>
      <c r="P161" s="368"/>
      <c r="Q161" s="368"/>
      <c r="R161" s="368"/>
      <c r="S161" s="368"/>
      <c r="T161" s="368"/>
      <c r="U161" s="368"/>
      <c r="V161" s="368"/>
      <c r="W161" s="368"/>
      <c r="X161" s="368"/>
      <c r="Y161" s="368"/>
      <c r="Z161" s="368"/>
      <c r="AA161" s="368"/>
      <c r="AB161" s="368"/>
      <c r="AC161" s="368"/>
      <c r="AD161" s="368"/>
      <c r="AE161" s="368"/>
      <c r="AF161" s="368"/>
      <c r="AG161" s="368"/>
      <c r="AH161" s="368"/>
      <c r="AI161" s="368"/>
      <c r="AJ161" s="368"/>
      <c r="AK161" s="368"/>
      <c r="AL161" s="368"/>
      <c r="AM161" s="368"/>
      <c r="AN161" s="368"/>
      <c r="AO161" s="368"/>
      <c r="AP161" s="368"/>
      <c r="AQ161" s="368"/>
      <c r="AR161" s="368"/>
      <c r="AS161" s="368"/>
      <c r="AT161" s="368"/>
      <c r="AU161" s="368"/>
      <c r="AV161" s="368"/>
      <c r="AW161" s="368"/>
      <c r="AX161" s="368"/>
      <c r="AY161" s="257"/>
      <c r="AZ161" s="178"/>
      <c r="BA161" s="368"/>
      <c r="BB161" s="368"/>
      <c r="BC161" s="165"/>
      <c r="BD161" s="165"/>
      <c r="BE161" s="165"/>
      <c r="BF161" s="165"/>
      <c r="BG161" s="165"/>
      <c r="BH161" s="368"/>
      <c r="BI161" s="412"/>
      <c r="BJ161" s="412"/>
    </row>
    <row r="162" spans="1:62" ht="42" customHeight="1">
      <c r="A162" s="344">
        <f>SUBTOTAL(3,C$11:$C162)</f>
        <v>110</v>
      </c>
      <c r="B162" s="337" t="s">
        <v>481</v>
      </c>
      <c r="C162" s="338" t="s">
        <v>47</v>
      </c>
      <c r="D162" s="339">
        <v>3.87</v>
      </c>
      <c r="E162" s="339">
        <v>2.87</v>
      </c>
      <c r="F162" s="339">
        <v>1</v>
      </c>
      <c r="G162" s="414">
        <f t="shared" ref="G162:G168" si="18">SUM(M162:AR162)</f>
        <v>1</v>
      </c>
      <c r="H162" s="413" t="s">
        <v>5</v>
      </c>
      <c r="I162" s="413" t="s">
        <v>7</v>
      </c>
      <c r="J162" s="413"/>
      <c r="K162" s="413" t="str">
        <f t="shared" ref="K162:K169" si="19">IF(M162&lt;&gt;0,$M$5&amp;", ","")&amp;IF(N162&lt;&gt;0,$N$5&amp;", ","")&amp;IF(O162&lt;&gt;0,O$5&amp;", ","")&amp;IF(P162&lt;&gt;0,P$5&amp;", ","")&amp;IF(Q162&lt;&gt;0,Q$5&amp;", ","")&amp;IF(R162&lt;&gt;0,R$5&amp;", ","")&amp;IF(S162&lt;&gt;0,S$5&amp;", ","")&amp;IF(T162&lt;&gt;0,T$5&amp;", ","")&amp;IF(U162&lt;&gt;0,U$5&amp;", ","")&amp;IF(V162&lt;&gt;0,V$5&amp;", ","")&amp;IF(W162&lt;&gt;0,W$5&amp;", ","")&amp;IF(X162&lt;&gt;0,X$5&amp;", ","")&amp;IF(Y162&lt;&gt;0,Y$5&amp;", ","")&amp;IF(Z162&lt;&gt;0,Z$5&amp;", ","")&amp;IF(AA162&lt;&gt;0,AA$5&amp;", ","")&amp;IF(AB162&lt;&gt;0,AB$5&amp;", ","")&amp;IF(AC162&lt;&gt;0,AC$5&amp;", ","")&amp;IF(AD162&lt;&gt;0,AD$5&amp;", ","")&amp;IF(AE162&lt;&gt;0,AE$5&amp;", ","")&amp;IF(AF162&lt;&gt;0,AF$5&amp;", ","")&amp;IF(AG162&lt;&gt;0,AG$5&amp;", ","")&amp;IF(AH162&lt;&gt;0,AH$5&amp;", ","")&amp;IF(AI162&lt;&gt;0,AI$5&amp;", ","")&amp;IF(AJ162&lt;&gt;0,AJ$5&amp;", ","")&amp;IF(AK162&lt;&gt;0,AK$5&amp;", ","")&amp;IF(AL162&lt;&gt;0,AL$5&amp;", ","")&amp;IF(AM162&lt;&gt;0,AM$5&amp;", ","")&amp;IF(AN162&lt;&gt;0,AN$5&amp;", ","")&amp;IF(AO162&lt;&gt;0,AO$5&amp;", ","")&amp;IF(AP162&lt;&gt;0,AP$5&amp;", ","")&amp;IF(AQ162&lt;&gt;0,AQ$5&amp;", ","")&amp;IF(AR162&lt;&gt;0,AR$5,"")&amp;IF(AS162&lt;&gt;0,AS$5,"")&amp;IF(AT162&lt;&gt;0,AT$5,"")&amp;IF(AU162&lt;&gt;0,AU$5,"")</f>
        <v xml:space="preserve">LUC, </v>
      </c>
      <c r="L162" s="413" t="str">
        <f t="shared" ref="L162:L169" si="20">IF(M162="","",$M$5&amp;":"&amp;M162&amp;";")&amp;IF(N162="","",$N$5&amp;":"&amp;N162&amp;";")&amp;IF(O162="","",$O$5&amp;":"&amp;O162&amp;";")&amp;IF(P162="","",$P$5&amp;":"&amp;P162&amp;";")&amp;IF(Q162="","",$Q$5&amp;":"&amp;Q162&amp;";")&amp;IF(R162="","",$R$5&amp;":"&amp;R162&amp;";")&amp;IF(S162="","",$S$5&amp;":"&amp;S162&amp;";")&amp;IF(T162="","",$T$5&amp;":"&amp;T162&amp;";")&amp;IF(U162="","",$U$5&amp;":"&amp;U162&amp;";")&amp;IF(V162="","",$V$5&amp;":"&amp;V162&amp;";")&amp;IF(W162="","",$W$5&amp;":"&amp;W162&amp;";")&amp;IF(X162="","",$X$5&amp;":"&amp;X162&amp;";")&amp;IF(Y162="","",$Y$5&amp;":"&amp;Y162&amp;";")&amp;IF(Z162="","",$Z$5&amp;":"&amp;Z162&amp;";")&amp;IF(AA162="","",$AA$5&amp;":"&amp;AA162&amp;";")&amp;IF(AB162="","",$AB$5&amp;":"&amp;AB162&amp;";")&amp;IF(AC162="","",$AC$5&amp;":"&amp;AC162&amp;";")&amp;IF(AD162="","",$AD$5&amp;":"&amp;AD162&amp;";")&amp;IF(AE162="","",$AE$5&amp;":"&amp;AE162&amp;";")&amp;IF(AF162="","",$AF$5&amp;":"&amp;AF162&amp;";")&amp;IF(AG162="","",$AG$5&amp;":"&amp;AG162&amp;";")&amp;IF(AH162="","",$AH$5&amp;":"&amp;AH162&amp;";")&amp;IF(AI162="","",$AI$5&amp;":"&amp;AI162&amp;";")&amp;IF(AJ162="","",$AJ$5&amp;":"&amp;AJ162&amp;";")&amp;IF(AK162="","",$AK$5&amp;":"&amp;AK162&amp;";")&amp;IF(AL162="","",$AL$5&amp;":"&amp;AL162&amp;";")&amp;IF(AM162="","",$AM$5&amp;":"&amp;AM162&amp;";")&amp;IF(AN162="","",$AN$5&amp;":"&amp;AN162&amp;";")&amp;IF(AO162="","",$AO$5&amp;":"&amp;AO162&amp;";")&amp;IF(AP162="","",$AP$5&amp;":"&amp;AP162&amp;";")&amp;IF(AQ162="","",$AQ$5&amp;":"&amp;AQ162&amp;";")&amp;IF(AR162="","",$AR$5&amp;":"&amp;AR162&amp;";")&amp;IF(AS162="","",$AS$5&amp;":"&amp;AS162&amp;";")&amp;IF(AT162="","",$AT$5&amp;":"&amp;AT162&amp;";")&amp;IF(AU162="","",$AU$5&amp;":"&amp;AU162&amp;";")</f>
        <v>LUC:1;</v>
      </c>
      <c r="M162" s="339">
        <v>1</v>
      </c>
      <c r="N162" s="339"/>
      <c r="O162" s="339"/>
      <c r="P162" s="339"/>
      <c r="Q162" s="339"/>
      <c r="R162" s="339"/>
      <c r="S162" s="339"/>
      <c r="T162" s="339"/>
      <c r="U162" s="339"/>
      <c r="V162" s="339"/>
      <c r="W162" s="339"/>
      <c r="X162" s="339"/>
      <c r="Y162" s="339"/>
      <c r="Z162" s="339"/>
      <c r="AA162" s="339"/>
      <c r="AB162" s="339"/>
      <c r="AC162" s="339"/>
      <c r="AD162" s="339"/>
      <c r="AE162" s="339"/>
      <c r="AF162" s="339"/>
      <c r="AG162" s="339"/>
      <c r="AH162" s="339"/>
      <c r="AI162" s="339"/>
      <c r="AJ162" s="339"/>
      <c r="AK162" s="339"/>
      <c r="AL162" s="339"/>
      <c r="AM162" s="339"/>
      <c r="AN162" s="339"/>
      <c r="AO162" s="339"/>
      <c r="AP162" s="339"/>
      <c r="AQ162" s="339"/>
      <c r="AR162" s="339"/>
      <c r="AS162" s="339"/>
      <c r="AT162" s="339"/>
      <c r="AU162" s="339"/>
      <c r="AV162" s="338" t="s">
        <v>217</v>
      </c>
      <c r="AW162" s="338" t="s">
        <v>217</v>
      </c>
      <c r="AX162" s="432" t="s">
        <v>482</v>
      </c>
      <c r="AY162" s="433" t="s">
        <v>482</v>
      </c>
      <c r="AZ162" s="434" t="s">
        <v>1237</v>
      </c>
      <c r="BA162" s="432"/>
      <c r="BB162" s="432"/>
      <c r="BC162" s="478" t="s">
        <v>270</v>
      </c>
      <c r="BD162" s="478"/>
      <c r="BE162" s="478"/>
      <c r="BF162" s="478" t="s">
        <v>263</v>
      </c>
      <c r="BG162" s="478"/>
      <c r="BH162" s="432"/>
    </row>
    <row r="163" spans="1:62" ht="42" customHeight="1">
      <c r="A163" s="344">
        <f>SUBTOTAL(3,C$11:$C163)</f>
        <v>111</v>
      </c>
      <c r="B163" s="170" t="s">
        <v>483</v>
      </c>
      <c r="C163" s="338" t="s">
        <v>47</v>
      </c>
      <c r="D163" s="361">
        <v>0.15</v>
      </c>
      <c r="E163" s="366">
        <v>7.0000000000000007E-2</v>
      </c>
      <c r="F163" s="366">
        <v>0.08</v>
      </c>
      <c r="G163" s="414">
        <f t="shared" si="18"/>
        <v>0.08</v>
      </c>
      <c r="H163" s="413" t="s">
        <v>13</v>
      </c>
      <c r="I163" s="413" t="s">
        <v>13</v>
      </c>
      <c r="J163" s="413"/>
      <c r="K163" s="413" t="str">
        <f t="shared" si="19"/>
        <v xml:space="preserve">CLN, </v>
      </c>
      <c r="L163" s="413" t="str">
        <f t="shared" si="20"/>
        <v>CLN:0,08;</v>
      </c>
      <c r="M163" s="366"/>
      <c r="N163" s="366"/>
      <c r="O163" s="366"/>
      <c r="P163" s="366">
        <v>0.08</v>
      </c>
      <c r="Q163" s="366"/>
      <c r="R163" s="366"/>
      <c r="S163" s="366"/>
      <c r="T163" s="366"/>
      <c r="U163" s="366"/>
      <c r="V163" s="366"/>
      <c r="W163" s="366"/>
      <c r="X163" s="366"/>
      <c r="Y163" s="366"/>
      <c r="Z163" s="366"/>
      <c r="AA163" s="366"/>
      <c r="AB163" s="366"/>
      <c r="AC163" s="366"/>
      <c r="AD163" s="366"/>
      <c r="AE163" s="366"/>
      <c r="AF163" s="366"/>
      <c r="AG163" s="366"/>
      <c r="AH163" s="366"/>
      <c r="AI163" s="366"/>
      <c r="AJ163" s="366"/>
      <c r="AK163" s="366"/>
      <c r="AL163" s="366"/>
      <c r="AM163" s="366"/>
      <c r="AN163" s="366"/>
      <c r="AO163" s="366"/>
      <c r="AP163" s="366"/>
      <c r="AQ163" s="366"/>
      <c r="AR163" s="366"/>
      <c r="AS163" s="366"/>
      <c r="AT163" s="366"/>
      <c r="AU163" s="366"/>
      <c r="AV163" s="338" t="s">
        <v>283</v>
      </c>
      <c r="AW163" s="338" t="s">
        <v>283</v>
      </c>
      <c r="AX163" s="432" t="s">
        <v>484</v>
      </c>
      <c r="AY163" s="433" t="s">
        <v>484</v>
      </c>
      <c r="AZ163" s="434" t="s">
        <v>1238</v>
      </c>
      <c r="BA163" s="432"/>
      <c r="BB163" s="432"/>
      <c r="BC163" s="478" t="s">
        <v>270</v>
      </c>
      <c r="BD163" s="478"/>
      <c r="BE163" s="478"/>
      <c r="BF163" s="478" t="s">
        <v>263</v>
      </c>
      <c r="BG163" s="478"/>
      <c r="BH163" s="432"/>
    </row>
    <row r="164" spans="1:62" ht="42" customHeight="1">
      <c r="A164" s="344">
        <f>SUBTOTAL(3,C$11:$C164)</f>
        <v>112</v>
      </c>
      <c r="B164" s="170" t="s">
        <v>485</v>
      </c>
      <c r="C164" s="338" t="s">
        <v>47</v>
      </c>
      <c r="D164" s="361">
        <v>0.14000000000000001</v>
      </c>
      <c r="E164" s="366">
        <v>0.04</v>
      </c>
      <c r="F164" s="339">
        <v>0.1</v>
      </c>
      <c r="G164" s="414">
        <f t="shared" si="18"/>
        <v>0.1</v>
      </c>
      <c r="H164" s="413" t="s">
        <v>40</v>
      </c>
      <c r="I164" s="413" t="s">
        <v>40</v>
      </c>
      <c r="J164" s="413"/>
      <c r="K164" s="413" t="str">
        <f t="shared" si="19"/>
        <v xml:space="preserve">SON, </v>
      </c>
      <c r="L164" s="413" t="str">
        <f t="shared" si="20"/>
        <v>SON:0,1;</v>
      </c>
      <c r="M164" s="339"/>
      <c r="N164" s="339"/>
      <c r="O164" s="339"/>
      <c r="P164" s="339"/>
      <c r="Q164" s="339"/>
      <c r="R164" s="339"/>
      <c r="S164" s="339"/>
      <c r="T164" s="339"/>
      <c r="U164" s="339"/>
      <c r="V164" s="339"/>
      <c r="W164" s="339"/>
      <c r="X164" s="339"/>
      <c r="Y164" s="339"/>
      <c r="Z164" s="339"/>
      <c r="AA164" s="339"/>
      <c r="AB164" s="339"/>
      <c r="AC164" s="339"/>
      <c r="AD164" s="339"/>
      <c r="AE164" s="339"/>
      <c r="AF164" s="339"/>
      <c r="AG164" s="339"/>
      <c r="AH164" s="339"/>
      <c r="AI164" s="339"/>
      <c r="AJ164" s="339"/>
      <c r="AK164" s="339"/>
      <c r="AL164" s="339"/>
      <c r="AM164" s="339"/>
      <c r="AN164" s="339"/>
      <c r="AO164" s="339"/>
      <c r="AP164" s="339"/>
      <c r="AQ164" s="339">
        <v>0.1</v>
      </c>
      <c r="AR164" s="339"/>
      <c r="AS164" s="339"/>
      <c r="AT164" s="339"/>
      <c r="AU164" s="339"/>
      <c r="AV164" s="338" t="s">
        <v>286</v>
      </c>
      <c r="AW164" s="338" t="s">
        <v>286</v>
      </c>
      <c r="AX164" s="432" t="s">
        <v>486</v>
      </c>
      <c r="AY164" s="433" t="s">
        <v>486</v>
      </c>
      <c r="AZ164" s="434" t="s">
        <v>1239</v>
      </c>
      <c r="BA164" s="432"/>
      <c r="BB164" s="432"/>
      <c r="BC164" s="478" t="s">
        <v>270</v>
      </c>
      <c r="BD164" s="478"/>
      <c r="BE164" s="478"/>
      <c r="BF164" s="478" t="s">
        <v>263</v>
      </c>
      <c r="BG164" s="478"/>
      <c r="BH164" s="432"/>
    </row>
    <row r="165" spans="1:62" ht="42" customHeight="1">
      <c r="A165" s="344">
        <f>SUBTOTAL(3,C$11:$C165)</f>
        <v>113</v>
      </c>
      <c r="B165" s="170" t="s">
        <v>487</v>
      </c>
      <c r="C165" s="338" t="s">
        <v>47</v>
      </c>
      <c r="D165" s="361">
        <v>0.1</v>
      </c>
      <c r="E165" s="366"/>
      <c r="F165" s="339">
        <v>0.1</v>
      </c>
      <c r="G165" s="414">
        <f t="shared" si="18"/>
        <v>0.1</v>
      </c>
      <c r="H165" s="413" t="s">
        <v>5</v>
      </c>
      <c r="I165" s="413" t="s">
        <v>7</v>
      </c>
      <c r="J165" s="413"/>
      <c r="K165" s="413" t="str">
        <f t="shared" si="19"/>
        <v xml:space="preserve">LUC, </v>
      </c>
      <c r="L165" s="413" t="str">
        <f t="shared" si="20"/>
        <v>LUC:0,1;</v>
      </c>
      <c r="M165" s="339">
        <v>0.1</v>
      </c>
      <c r="N165" s="339"/>
      <c r="O165" s="339"/>
      <c r="P165" s="339"/>
      <c r="Q165" s="339"/>
      <c r="R165" s="339"/>
      <c r="S165" s="339"/>
      <c r="T165" s="339"/>
      <c r="U165" s="339"/>
      <c r="V165" s="339"/>
      <c r="W165" s="339"/>
      <c r="X165" s="339"/>
      <c r="Y165" s="339"/>
      <c r="Z165" s="339"/>
      <c r="AA165" s="339"/>
      <c r="AB165" s="339"/>
      <c r="AC165" s="339"/>
      <c r="AD165" s="339"/>
      <c r="AE165" s="339"/>
      <c r="AF165" s="339"/>
      <c r="AG165" s="339"/>
      <c r="AH165" s="339"/>
      <c r="AI165" s="339"/>
      <c r="AJ165" s="339"/>
      <c r="AK165" s="339"/>
      <c r="AL165" s="339"/>
      <c r="AM165" s="339"/>
      <c r="AN165" s="339"/>
      <c r="AO165" s="339"/>
      <c r="AP165" s="339"/>
      <c r="AQ165" s="339"/>
      <c r="AR165" s="339"/>
      <c r="AS165" s="339"/>
      <c r="AT165" s="339"/>
      <c r="AU165" s="339"/>
      <c r="AV165" s="338" t="s">
        <v>300</v>
      </c>
      <c r="AW165" s="338" t="s">
        <v>300</v>
      </c>
      <c r="AX165" s="432" t="s">
        <v>488</v>
      </c>
      <c r="AY165" s="433" t="s">
        <v>488</v>
      </c>
      <c r="AZ165" s="434" t="s">
        <v>1240</v>
      </c>
      <c r="BA165" s="432"/>
      <c r="BB165" s="432"/>
      <c r="BC165" s="478" t="s">
        <v>270</v>
      </c>
      <c r="BD165" s="478"/>
      <c r="BE165" s="478"/>
      <c r="BF165" s="478" t="s">
        <v>263</v>
      </c>
      <c r="BG165" s="478"/>
      <c r="BH165" s="432"/>
    </row>
    <row r="166" spans="1:62" ht="42" customHeight="1">
      <c r="A166" s="344">
        <f>SUBTOTAL(3,C$11:$C166)</f>
        <v>114</v>
      </c>
      <c r="B166" s="170" t="s">
        <v>489</v>
      </c>
      <c r="C166" s="338" t="s">
        <v>47</v>
      </c>
      <c r="D166" s="361">
        <v>0.12</v>
      </c>
      <c r="E166" s="366"/>
      <c r="F166" s="339">
        <v>0.12</v>
      </c>
      <c r="G166" s="414">
        <f t="shared" si="18"/>
        <v>0.12</v>
      </c>
      <c r="H166" s="413" t="s">
        <v>48</v>
      </c>
      <c r="I166" s="413" t="s">
        <v>48</v>
      </c>
      <c r="J166" s="413"/>
      <c r="K166" s="413" t="str">
        <f t="shared" si="19"/>
        <v xml:space="preserve">DGD, </v>
      </c>
      <c r="L166" s="413" t="str">
        <f t="shared" si="20"/>
        <v>DGD:0,12;</v>
      </c>
      <c r="M166" s="339"/>
      <c r="N166" s="339"/>
      <c r="O166" s="339"/>
      <c r="P166" s="339"/>
      <c r="Q166" s="339"/>
      <c r="R166" s="339"/>
      <c r="S166" s="339"/>
      <c r="T166" s="339"/>
      <c r="U166" s="339"/>
      <c r="V166" s="339"/>
      <c r="W166" s="339"/>
      <c r="X166" s="339"/>
      <c r="Y166" s="339"/>
      <c r="Z166" s="339"/>
      <c r="AA166" s="339">
        <v>0.12</v>
      </c>
      <c r="AB166" s="339"/>
      <c r="AC166" s="339"/>
      <c r="AD166" s="339"/>
      <c r="AE166" s="339"/>
      <c r="AF166" s="339"/>
      <c r="AG166" s="339"/>
      <c r="AH166" s="339"/>
      <c r="AI166" s="339"/>
      <c r="AJ166" s="339"/>
      <c r="AK166" s="339"/>
      <c r="AL166" s="339"/>
      <c r="AM166" s="339"/>
      <c r="AN166" s="339"/>
      <c r="AO166" s="339"/>
      <c r="AP166" s="339"/>
      <c r="AQ166" s="339"/>
      <c r="AR166" s="339"/>
      <c r="AS166" s="339"/>
      <c r="AT166" s="339"/>
      <c r="AU166" s="339"/>
      <c r="AV166" s="338" t="s">
        <v>266</v>
      </c>
      <c r="AW166" s="338" t="s">
        <v>266</v>
      </c>
      <c r="AX166" s="350" t="s">
        <v>1241</v>
      </c>
      <c r="AY166" s="356" t="s">
        <v>1241</v>
      </c>
      <c r="AZ166" s="352" t="s">
        <v>1242</v>
      </c>
      <c r="BA166" s="350"/>
      <c r="BB166" s="350"/>
      <c r="BC166" s="478" t="s">
        <v>270</v>
      </c>
      <c r="BD166" s="478"/>
      <c r="BE166" s="478"/>
      <c r="BF166" s="478" t="s">
        <v>263</v>
      </c>
      <c r="BG166" s="478"/>
      <c r="BH166" s="350"/>
    </row>
    <row r="167" spans="1:62" ht="42" customHeight="1">
      <c r="A167" s="344">
        <f>SUBTOTAL(3,C$11:$C167)</f>
        <v>115</v>
      </c>
      <c r="B167" s="337" t="s">
        <v>490</v>
      </c>
      <c r="C167" s="338" t="s">
        <v>47</v>
      </c>
      <c r="D167" s="339">
        <v>0.21</v>
      </c>
      <c r="E167" s="366">
        <v>0.11</v>
      </c>
      <c r="F167" s="361">
        <v>0.1</v>
      </c>
      <c r="G167" s="414">
        <f t="shared" si="18"/>
        <v>0.1</v>
      </c>
      <c r="H167" s="413" t="s">
        <v>5</v>
      </c>
      <c r="I167" s="413" t="s">
        <v>7</v>
      </c>
      <c r="J167" s="413"/>
      <c r="K167" s="413" t="str">
        <f t="shared" si="19"/>
        <v xml:space="preserve">LUC, </v>
      </c>
      <c r="L167" s="413" t="str">
        <f t="shared" si="20"/>
        <v>LUC:0,1;</v>
      </c>
      <c r="M167" s="361">
        <v>0.1</v>
      </c>
      <c r="N167" s="361"/>
      <c r="O167" s="361"/>
      <c r="P167" s="361"/>
      <c r="Q167" s="361"/>
      <c r="R167" s="361"/>
      <c r="S167" s="361"/>
      <c r="T167" s="361"/>
      <c r="U167" s="361"/>
      <c r="V167" s="361"/>
      <c r="W167" s="361"/>
      <c r="X167" s="361"/>
      <c r="Y167" s="361"/>
      <c r="Z167" s="361"/>
      <c r="AA167" s="361"/>
      <c r="AB167" s="361"/>
      <c r="AC167" s="361"/>
      <c r="AD167" s="361"/>
      <c r="AE167" s="361"/>
      <c r="AF167" s="361"/>
      <c r="AG167" s="361"/>
      <c r="AH167" s="361"/>
      <c r="AI167" s="361"/>
      <c r="AJ167" s="361"/>
      <c r="AK167" s="361"/>
      <c r="AL167" s="361"/>
      <c r="AM167" s="361"/>
      <c r="AN167" s="361"/>
      <c r="AO167" s="361"/>
      <c r="AP167" s="361"/>
      <c r="AQ167" s="361"/>
      <c r="AR167" s="361"/>
      <c r="AS167" s="361"/>
      <c r="AT167" s="361"/>
      <c r="AU167" s="361"/>
      <c r="AV167" s="338" t="s">
        <v>370</v>
      </c>
      <c r="AW167" s="338" t="s">
        <v>370</v>
      </c>
      <c r="AX167" s="350" t="s">
        <v>491</v>
      </c>
      <c r="AY167" s="356" t="s">
        <v>491</v>
      </c>
      <c r="AZ167" s="352" t="s">
        <v>1243</v>
      </c>
      <c r="BA167" s="350"/>
      <c r="BB167" s="350"/>
      <c r="BC167" s="195" t="s">
        <v>316</v>
      </c>
      <c r="BD167" s="195"/>
      <c r="BE167" s="195"/>
      <c r="BF167" s="195" t="s">
        <v>263</v>
      </c>
      <c r="BG167" s="195"/>
      <c r="BH167" s="350"/>
    </row>
    <row r="168" spans="1:62" ht="42" customHeight="1">
      <c r="A168" s="344">
        <f>SUBTOTAL(3,C$11:$C168)</f>
        <v>116</v>
      </c>
      <c r="B168" s="170" t="s">
        <v>492</v>
      </c>
      <c r="C168" s="338" t="s">
        <v>47</v>
      </c>
      <c r="D168" s="361">
        <v>0.18</v>
      </c>
      <c r="E168" s="366"/>
      <c r="F168" s="339">
        <v>0.18</v>
      </c>
      <c r="G168" s="414">
        <f t="shared" si="18"/>
        <v>0.18</v>
      </c>
      <c r="H168" s="413" t="s">
        <v>24</v>
      </c>
      <c r="I168" s="413" t="s">
        <v>24</v>
      </c>
      <c r="J168" s="413"/>
      <c r="K168" s="413" t="str">
        <f t="shared" si="19"/>
        <v xml:space="preserve">TSC, </v>
      </c>
      <c r="L168" s="413" t="str">
        <f t="shared" si="20"/>
        <v>TSC:0,18;</v>
      </c>
      <c r="M168" s="339"/>
      <c r="N168" s="339"/>
      <c r="O168" s="339"/>
      <c r="P168" s="339"/>
      <c r="Q168" s="339"/>
      <c r="R168" s="339"/>
      <c r="S168" s="339"/>
      <c r="T168" s="339"/>
      <c r="U168" s="339"/>
      <c r="V168" s="339"/>
      <c r="W168" s="339"/>
      <c r="X168" s="339"/>
      <c r="Y168" s="339"/>
      <c r="Z168" s="339"/>
      <c r="AA168" s="339"/>
      <c r="AB168" s="339"/>
      <c r="AC168" s="339"/>
      <c r="AD168" s="339"/>
      <c r="AE168" s="339"/>
      <c r="AF168" s="339"/>
      <c r="AG168" s="339"/>
      <c r="AH168" s="339"/>
      <c r="AI168" s="339"/>
      <c r="AJ168" s="339"/>
      <c r="AK168" s="339"/>
      <c r="AL168" s="339"/>
      <c r="AM168" s="339"/>
      <c r="AN168" s="339">
        <v>0.18</v>
      </c>
      <c r="AO168" s="339"/>
      <c r="AP168" s="339"/>
      <c r="AQ168" s="339"/>
      <c r="AR168" s="339"/>
      <c r="AS168" s="339"/>
      <c r="AT168" s="339"/>
      <c r="AU168" s="339"/>
      <c r="AV168" s="338" t="s">
        <v>295</v>
      </c>
      <c r="AW168" s="338" t="s">
        <v>295</v>
      </c>
      <c r="AX168" s="350" t="s">
        <v>493</v>
      </c>
      <c r="AY168" s="356" t="s">
        <v>493</v>
      </c>
      <c r="AZ168" s="352" t="s">
        <v>1244</v>
      </c>
      <c r="BA168" s="350"/>
      <c r="BB168" s="350"/>
      <c r="BC168" s="195" t="s">
        <v>316</v>
      </c>
      <c r="BD168" s="195"/>
      <c r="BE168" s="195"/>
      <c r="BF168" s="195" t="s">
        <v>263</v>
      </c>
      <c r="BG168" s="195"/>
      <c r="BH168" s="350"/>
    </row>
    <row r="169" spans="1:62" ht="25" customHeight="1">
      <c r="A169" s="151" t="s">
        <v>1722</v>
      </c>
      <c r="B169" s="159" t="s">
        <v>166</v>
      </c>
      <c r="C169" s="158"/>
      <c r="D169" s="351"/>
      <c r="E169" s="351"/>
      <c r="F169" s="351"/>
      <c r="G169" s="414"/>
      <c r="H169" s="413"/>
      <c r="I169" s="413"/>
      <c r="J169" s="413"/>
      <c r="K169" s="413" t="str">
        <f t="shared" si="19"/>
        <v/>
      </c>
      <c r="L169" s="413" t="str">
        <f t="shared" si="20"/>
        <v/>
      </c>
      <c r="M169" s="351"/>
      <c r="N169" s="351"/>
      <c r="O169" s="351"/>
      <c r="P169" s="351"/>
      <c r="Q169" s="351"/>
      <c r="R169" s="351"/>
      <c r="S169" s="351"/>
      <c r="T169" s="351"/>
      <c r="U169" s="351"/>
      <c r="V169" s="351"/>
      <c r="W169" s="351"/>
      <c r="X169" s="351"/>
      <c r="Y169" s="351"/>
      <c r="Z169" s="351"/>
      <c r="AA169" s="351"/>
      <c r="AB169" s="351"/>
      <c r="AC169" s="351"/>
      <c r="AD169" s="351"/>
      <c r="AE169" s="351"/>
      <c r="AF169" s="351"/>
      <c r="AG169" s="351"/>
      <c r="AH169" s="351"/>
      <c r="AI169" s="351"/>
      <c r="AJ169" s="351"/>
      <c r="AK169" s="351"/>
      <c r="AL169" s="351"/>
      <c r="AM169" s="351"/>
      <c r="AN169" s="351"/>
      <c r="AO169" s="351"/>
      <c r="AP169" s="351"/>
      <c r="AQ169" s="351"/>
      <c r="AR169" s="351"/>
      <c r="AS169" s="351"/>
      <c r="AT169" s="351"/>
      <c r="AU169" s="351"/>
      <c r="AV169" s="351"/>
      <c r="AW169" s="351"/>
      <c r="AX169" s="351"/>
      <c r="AY169" s="260"/>
      <c r="AZ169" s="181"/>
      <c r="BA169" s="351"/>
      <c r="BB169" s="351"/>
      <c r="BC169" s="156"/>
      <c r="BD169" s="156"/>
      <c r="BE169" s="156"/>
      <c r="BF169" s="156"/>
      <c r="BG169" s="156"/>
      <c r="BH169" s="351"/>
    </row>
    <row r="170" spans="1:62" s="179" customFormat="1" ht="24.65" customHeight="1">
      <c r="A170" s="145"/>
      <c r="B170" s="163" t="s">
        <v>1757</v>
      </c>
      <c r="C170" s="164"/>
      <c r="D170" s="368"/>
      <c r="E170" s="368"/>
      <c r="F170" s="368"/>
      <c r="G170" s="410"/>
      <c r="H170" s="411"/>
      <c r="I170" s="411"/>
      <c r="J170" s="411"/>
      <c r="K170" s="411"/>
      <c r="L170" s="411"/>
      <c r="M170" s="368"/>
      <c r="N170" s="368"/>
      <c r="O170" s="368"/>
      <c r="P170" s="368"/>
      <c r="Q170" s="368"/>
      <c r="R170" s="368"/>
      <c r="S170" s="368"/>
      <c r="T170" s="368"/>
      <c r="U170" s="368"/>
      <c r="V170" s="368"/>
      <c r="W170" s="368"/>
      <c r="X170" s="368"/>
      <c r="Y170" s="368"/>
      <c r="Z170" s="368"/>
      <c r="AA170" s="368"/>
      <c r="AB170" s="368"/>
      <c r="AC170" s="368"/>
      <c r="AD170" s="368"/>
      <c r="AE170" s="368"/>
      <c r="AF170" s="368"/>
      <c r="AG170" s="368"/>
      <c r="AH170" s="368"/>
      <c r="AI170" s="368"/>
      <c r="AJ170" s="368"/>
      <c r="AK170" s="368"/>
      <c r="AL170" s="368"/>
      <c r="AM170" s="368"/>
      <c r="AN170" s="368"/>
      <c r="AO170" s="368"/>
      <c r="AP170" s="368"/>
      <c r="AQ170" s="368"/>
      <c r="AR170" s="368"/>
      <c r="AS170" s="368"/>
      <c r="AT170" s="368"/>
      <c r="AU170" s="368"/>
      <c r="AV170" s="368"/>
      <c r="AW170" s="368"/>
      <c r="AX170" s="368"/>
      <c r="AY170" s="257"/>
      <c r="AZ170" s="178"/>
      <c r="BA170" s="368"/>
      <c r="BB170" s="368"/>
      <c r="BC170" s="165"/>
      <c r="BD170" s="165"/>
      <c r="BE170" s="165"/>
      <c r="BF170" s="165"/>
      <c r="BG170" s="165"/>
      <c r="BH170" s="368"/>
      <c r="BI170" s="412"/>
      <c r="BJ170" s="412"/>
    </row>
    <row r="171" spans="1:62" ht="57">
      <c r="A171" s="344">
        <f>SUBTOTAL(3,C$11:$C171)</f>
        <v>117</v>
      </c>
      <c r="B171" s="337" t="s">
        <v>495</v>
      </c>
      <c r="C171" s="338" t="s">
        <v>48</v>
      </c>
      <c r="D171" s="366">
        <v>0.35</v>
      </c>
      <c r="E171" s="366"/>
      <c r="F171" s="361">
        <v>0.35</v>
      </c>
      <c r="G171" s="414">
        <f t="shared" ref="G171:G183" si="21">SUM(M171:AR171)</f>
        <v>0.35</v>
      </c>
      <c r="H171" s="413" t="s">
        <v>5</v>
      </c>
      <c r="I171" s="413" t="s">
        <v>7</v>
      </c>
      <c r="J171" s="413"/>
      <c r="K171" s="413" t="str">
        <f t="shared" ref="K171:K181" si="22">IF(M171&lt;&gt;0,$M$5&amp;", ","")&amp;IF(N171&lt;&gt;0,$N$5&amp;", ","")&amp;IF(O171&lt;&gt;0,O$5&amp;", ","")&amp;IF(P171&lt;&gt;0,P$5&amp;", ","")&amp;IF(Q171&lt;&gt;0,Q$5&amp;", ","")&amp;IF(R171&lt;&gt;0,R$5&amp;", ","")&amp;IF(S171&lt;&gt;0,S$5&amp;", ","")&amp;IF(T171&lt;&gt;0,T$5&amp;", ","")&amp;IF(U171&lt;&gt;0,U$5&amp;", ","")&amp;IF(V171&lt;&gt;0,V$5&amp;", ","")&amp;IF(W171&lt;&gt;0,W$5&amp;", ","")&amp;IF(X171&lt;&gt;0,X$5&amp;", ","")&amp;IF(Y171&lt;&gt;0,Y$5&amp;", ","")&amp;IF(Z171&lt;&gt;0,Z$5&amp;", ","")&amp;IF(AA171&lt;&gt;0,AA$5&amp;", ","")&amp;IF(AB171&lt;&gt;0,AB$5&amp;", ","")&amp;IF(AC171&lt;&gt;0,AC$5&amp;", ","")&amp;IF(AD171&lt;&gt;0,AD$5&amp;", ","")&amp;IF(AE171&lt;&gt;0,AE$5&amp;", ","")&amp;IF(AF171&lt;&gt;0,AF$5&amp;", ","")&amp;IF(AG171&lt;&gt;0,AG$5&amp;", ","")&amp;IF(AH171&lt;&gt;0,AH$5&amp;", ","")&amp;IF(AI171&lt;&gt;0,AI$5&amp;", ","")&amp;IF(AJ171&lt;&gt;0,AJ$5&amp;", ","")&amp;IF(AK171&lt;&gt;0,AK$5&amp;", ","")&amp;IF(AL171&lt;&gt;0,AL$5&amp;", ","")&amp;IF(AM171&lt;&gt;0,AM$5&amp;", ","")&amp;IF(AN171&lt;&gt;0,AN$5&amp;", ","")&amp;IF(AO171&lt;&gt;0,AO$5&amp;", ","")&amp;IF(AP171&lt;&gt;0,AP$5&amp;", ","")&amp;IF(AQ171&lt;&gt;0,AQ$5&amp;", ","")&amp;IF(AR171&lt;&gt;0,AR$5,"")&amp;IF(AS171&lt;&gt;0,AS$5,"")&amp;IF(AT171&lt;&gt;0,AT$5,"")&amp;IF(AU171&lt;&gt;0,AU$5,"")</f>
        <v xml:space="preserve">LUC, </v>
      </c>
      <c r="L171" s="413" t="str">
        <f t="shared" ref="L171:L181" si="23">IF(M171="","",$M$5&amp;":"&amp;M171&amp;";")&amp;IF(N171="","",$N$5&amp;":"&amp;N171&amp;";")&amp;IF(O171="","",$O$5&amp;":"&amp;O171&amp;";")&amp;IF(P171="","",$P$5&amp;":"&amp;P171&amp;";")&amp;IF(Q171="","",$Q$5&amp;":"&amp;Q171&amp;";")&amp;IF(R171="","",$R$5&amp;":"&amp;R171&amp;";")&amp;IF(S171="","",$S$5&amp;":"&amp;S171&amp;";")&amp;IF(T171="","",$T$5&amp;":"&amp;T171&amp;";")&amp;IF(U171="","",$U$5&amp;":"&amp;U171&amp;";")&amp;IF(V171="","",$V$5&amp;":"&amp;V171&amp;";")&amp;IF(W171="","",$W$5&amp;":"&amp;W171&amp;";")&amp;IF(X171="","",$X$5&amp;":"&amp;X171&amp;";")&amp;IF(Y171="","",$Y$5&amp;":"&amp;Y171&amp;";")&amp;IF(Z171="","",$Z$5&amp;":"&amp;Z171&amp;";")&amp;IF(AA171="","",$AA$5&amp;":"&amp;AA171&amp;";")&amp;IF(AB171="","",$AB$5&amp;":"&amp;AB171&amp;";")&amp;IF(AC171="","",$AC$5&amp;":"&amp;AC171&amp;";")&amp;IF(AD171="","",$AD$5&amp;":"&amp;AD171&amp;";")&amp;IF(AE171="","",$AE$5&amp;":"&amp;AE171&amp;";")&amp;IF(AF171="","",$AF$5&amp;":"&amp;AF171&amp;";")&amp;IF(AG171="","",$AG$5&amp;":"&amp;AG171&amp;";")&amp;IF(AH171="","",$AH$5&amp;":"&amp;AH171&amp;";")&amp;IF(AI171="","",$AI$5&amp;":"&amp;AI171&amp;";")&amp;IF(AJ171="","",$AJ$5&amp;":"&amp;AJ171&amp;";")&amp;IF(AK171="","",$AK$5&amp;":"&amp;AK171&amp;";")&amp;IF(AL171="","",$AL$5&amp;":"&amp;AL171&amp;";")&amp;IF(AM171="","",$AM$5&amp;":"&amp;AM171&amp;";")&amp;IF(AN171="","",$AN$5&amp;":"&amp;AN171&amp;";")&amp;IF(AO171="","",$AO$5&amp;":"&amp;AO171&amp;";")&amp;IF(AP171="","",$AP$5&amp;":"&amp;AP171&amp;";")&amp;IF(AQ171="","",$AQ$5&amp;":"&amp;AQ171&amp;";")&amp;IF(AR171="","",$AR$5&amp;":"&amp;AR171&amp;";")&amp;IF(AS171="","",$AS$5&amp;":"&amp;AS171&amp;";")&amp;IF(AT171="","",$AT$5&amp;":"&amp;AT171&amp;";")&amp;IF(AU171="","",$AU$5&amp;":"&amp;AU171&amp;";")</f>
        <v>LUC:0,35;</v>
      </c>
      <c r="M171" s="361">
        <v>0.35</v>
      </c>
      <c r="N171" s="361"/>
      <c r="O171" s="361"/>
      <c r="P171" s="361"/>
      <c r="Q171" s="361"/>
      <c r="R171" s="361"/>
      <c r="S171" s="361"/>
      <c r="T171" s="361"/>
      <c r="U171" s="361"/>
      <c r="V171" s="361"/>
      <c r="W171" s="361"/>
      <c r="X171" s="361"/>
      <c r="Y171" s="361"/>
      <c r="Z171" s="361"/>
      <c r="AA171" s="361"/>
      <c r="AB171" s="361"/>
      <c r="AC171" s="361"/>
      <c r="AD171" s="361"/>
      <c r="AE171" s="361"/>
      <c r="AF171" s="361"/>
      <c r="AG171" s="361"/>
      <c r="AH171" s="361"/>
      <c r="AI171" s="361"/>
      <c r="AJ171" s="361"/>
      <c r="AK171" s="361"/>
      <c r="AL171" s="361"/>
      <c r="AM171" s="361"/>
      <c r="AN171" s="361"/>
      <c r="AO171" s="361"/>
      <c r="AP171" s="361"/>
      <c r="AQ171" s="361"/>
      <c r="AR171" s="361"/>
      <c r="AS171" s="361"/>
      <c r="AT171" s="361"/>
      <c r="AU171" s="361"/>
      <c r="AV171" s="338" t="s">
        <v>289</v>
      </c>
      <c r="AW171" s="338" t="s">
        <v>289</v>
      </c>
      <c r="AX171" s="432" t="s">
        <v>496</v>
      </c>
      <c r="AY171" s="433" t="s">
        <v>496</v>
      </c>
      <c r="AZ171" s="434" t="s">
        <v>1246</v>
      </c>
      <c r="BA171" s="432" t="s">
        <v>497</v>
      </c>
      <c r="BB171" s="432"/>
      <c r="BC171" s="195" t="s">
        <v>270</v>
      </c>
      <c r="BD171" s="195"/>
      <c r="BE171" s="195"/>
      <c r="BF171" s="195"/>
      <c r="BG171" s="195" t="s">
        <v>263</v>
      </c>
      <c r="BH171" s="337" t="s">
        <v>498</v>
      </c>
    </row>
    <row r="172" spans="1:62" ht="42" customHeight="1">
      <c r="A172" s="344">
        <f>SUBTOTAL(3,C$11:$C172)</f>
        <v>118</v>
      </c>
      <c r="B172" s="337" t="s">
        <v>499</v>
      </c>
      <c r="C172" s="338" t="s">
        <v>48</v>
      </c>
      <c r="D172" s="366">
        <v>0.23</v>
      </c>
      <c r="E172" s="366">
        <v>0.11</v>
      </c>
      <c r="F172" s="361">
        <v>0.12</v>
      </c>
      <c r="G172" s="414">
        <f t="shared" si="21"/>
        <v>0.12</v>
      </c>
      <c r="H172" s="413" t="s">
        <v>5</v>
      </c>
      <c r="I172" s="413" t="s">
        <v>7</v>
      </c>
      <c r="J172" s="413"/>
      <c r="K172" s="413" t="str">
        <f t="shared" si="22"/>
        <v xml:space="preserve">LUC, </v>
      </c>
      <c r="L172" s="413" t="str">
        <f t="shared" si="23"/>
        <v>LUC:0,12;</v>
      </c>
      <c r="M172" s="361">
        <v>0.12</v>
      </c>
      <c r="N172" s="361"/>
      <c r="O172" s="361"/>
      <c r="P172" s="361"/>
      <c r="Q172" s="361"/>
      <c r="R172" s="361"/>
      <c r="S172" s="361"/>
      <c r="T172" s="361"/>
      <c r="U172" s="361"/>
      <c r="V172" s="361"/>
      <c r="W172" s="361"/>
      <c r="X172" s="361"/>
      <c r="Y172" s="361"/>
      <c r="Z172" s="361"/>
      <c r="AA172" s="361"/>
      <c r="AB172" s="361"/>
      <c r="AC172" s="361"/>
      <c r="AD172" s="361"/>
      <c r="AE172" s="361"/>
      <c r="AF172" s="361"/>
      <c r="AG172" s="361"/>
      <c r="AH172" s="361"/>
      <c r="AI172" s="361"/>
      <c r="AJ172" s="361"/>
      <c r="AK172" s="361"/>
      <c r="AL172" s="361"/>
      <c r="AM172" s="361"/>
      <c r="AN172" s="361"/>
      <c r="AO172" s="361"/>
      <c r="AP172" s="361"/>
      <c r="AQ172" s="361"/>
      <c r="AR172" s="361"/>
      <c r="AS172" s="361"/>
      <c r="AT172" s="361"/>
      <c r="AU172" s="361"/>
      <c r="AV172" s="338" t="s">
        <v>300</v>
      </c>
      <c r="AW172" s="338" t="s">
        <v>300</v>
      </c>
      <c r="AX172" s="432" t="s">
        <v>500</v>
      </c>
      <c r="AY172" s="433" t="s">
        <v>500</v>
      </c>
      <c r="AZ172" s="434" t="s">
        <v>1247</v>
      </c>
      <c r="BA172" s="432"/>
      <c r="BB172" s="432"/>
      <c r="BC172" s="195" t="s">
        <v>270</v>
      </c>
      <c r="BD172" s="195"/>
      <c r="BE172" s="195"/>
      <c r="BF172" s="195" t="s">
        <v>263</v>
      </c>
      <c r="BG172" s="195"/>
      <c r="BH172" s="432"/>
    </row>
    <row r="173" spans="1:62" ht="95">
      <c r="A173" s="344">
        <f>SUBTOTAL(3,C$11:$C173)</f>
        <v>119</v>
      </c>
      <c r="B173" s="362" t="s">
        <v>506</v>
      </c>
      <c r="C173" s="338" t="s">
        <v>48</v>
      </c>
      <c r="D173" s="351">
        <v>5.25</v>
      </c>
      <c r="E173" s="351">
        <v>2.62</v>
      </c>
      <c r="F173" s="361">
        <f>D173-E173</f>
        <v>2.63</v>
      </c>
      <c r="G173" s="414">
        <f t="shared" si="21"/>
        <v>2.62</v>
      </c>
      <c r="H173" s="413" t="s">
        <v>48</v>
      </c>
      <c r="I173" s="413" t="s">
        <v>48</v>
      </c>
      <c r="J173" s="413"/>
      <c r="K173" s="413" t="str">
        <f t="shared" si="22"/>
        <v xml:space="preserve">DGD, </v>
      </c>
      <c r="L173" s="413" t="str">
        <f t="shared" si="23"/>
        <v>DGD:2,62;</v>
      </c>
      <c r="M173" s="361"/>
      <c r="N173" s="361"/>
      <c r="O173" s="361"/>
      <c r="P173" s="361"/>
      <c r="Q173" s="361"/>
      <c r="R173" s="361"/>
      <c r="S173" s="361"/>
      <c r="T173" s="361"/>
      <c r="U173" s="361"/>
      <c r="V173" s="361"/>
      <c r="W173" s="361"/>
      <c r="X173" s="361"/>
      <c r="Y173" s="361"/>
      <c r="Z173" s="361"/>
      <c r="AA173" s="361">
        <v>2.62</v>
      </c>
      <c r="AB173" s="361"/>
      <c r="AC173" s="361"/>
      <c r="AD173" s="361"/>
      <c r="AE173" s="361"/>
      <c r="AF173" s="361"/>
      <c r="AG173" s="361"/>
      <c r="AH173" s="361"/>
      <c r="AI173" s="361"/>
      <c r="AJ173" s="361"/>
      <c r="AK173" s="361"/>
      <c r="AL173" s="361"/>
      <c r="AM173" s="361"/>
      <c r="AN173" s="361"/>
      <c r="AO173" s="361"/>
      <c r="AP173" s="361"/>
      <c r="AQ173" s="361"/>
      <c r="AR173" s="361"/>
      <c r="AS173" s="361"/>
      <c r="AT173" s="361"/>
      <c r="AU173" s="361"/>
      <c r="AV173" s="351" t="s">
        <v>303</v>
      </c>
      <c r="AW173" s="351" t="s">
        <v>303</v>
      </c>
      <c r="AX173" s="432" t="s">
        <v>507</v>
      </c>
      <c r="AY173" s="433" t="s">
        <v>507</v>
      </c>
      <c r="AZ173" s="434" t="s">
        <v>1253</v>
      </c>
      <c r="BA173" s="432"/>
      <c r="BB173" s="432"/>
      <c r="BC173" s="195" t="s">
        <v>316</v>
      </c>
      <c r="BD173" s="195"/>
      <c r="BE173" s="195"/>
      <c r="BF173" s="195" t="s">
        <v>263</v>
      </c>
      <c r="BG173" s="195"/>
      <c r="BH173" s="432"/>
    </row>
    <row r="174" spans="1:62" ht="68.25" customHeight="1">
      <c r="A174" s="344">
        <f>SUBTOTAL(3,C$11:$C174)</f>
        <v>120</v>
      </c>
      <c r="B174" s="362" t="s">
        <v>508</v>
      </c>
      <c r="C174" s="338" t="s">
        <v>48</v>
      </c>
      <c r="D174" s="361">
        <v>0.65</v>
      </c>
      <c r="E174" s="339">
        <v>0.23</v>
      </c>
      <c r="F174" s="361">
        <v>0.42</v>
      </c>
      <c r="G174" s="414">
        <f t="shared" si="21"/>
        <v>0.42</v>
      </c>
      <c r="H174" s="413" t="s">
        <v>1254</v>
      </c>
      <c r="I174" s="413" t="s">
        <v>1255</v>
      </c>
      <c r="J174" s="413"/>
      <c r="K174" s="413" t="str">
        <f t="shared" si="22"/>
        <v xml:space="preserve">LUC, ODT, </v>
      </c>
      <c r="L174" s="413" t="str">
        <f t="shared" si="23"/>
        <v>LUC:0,37;ODT:0,05;</v>
      </c>
      <c r="M174" s="361">
        <v>0.37</v>
      </c>
      <c r="N174" s="361"/>
      <c r="O174" s="361"/>
      <c r="P174" s="361"/>
      <c r="Q174" s="361"/>
      <c r="R174" s="361"/>
      <c r="S174" s="361"/>
      <c r="T174" s="361"/>
      <c r="U174" s="361"/>
      <c r="V174" s="361"/>
      <c r="W174" s="361"/>
      <c r="X174" s="361"/>
      <c r="Y174" s="361"/>
      <c r="Z174" s="361"/>
      <c r="AA174" s="361"/>
      <c r="AB174" s="361"/>
      <c r="AC174" s="361"/>
      <c r="AD174" s="361"/>
      <c r="AE174" s="361"/>
      <c r="AF174" s="361"/>
      <c r="AG174" s="361"/>
      <c r="AH174" s="361"/>
      <c r="AI174" s="361"/>
      <c r="AJ174" s="361"/>
      <c r="AK174" s="361"/>
      <c r="AL174" s="361"/>
      <c r="AM174" s="361">
        <v>0.05</v>
      </c>
      <c r="AN174" s="361"/>
      <c r="AO174" s="361"/>
      <c r="AP174" s="361"/>
      <c r="AQ174" s="361"/>
      <c r="AR174" s="361"/>
      <c r="AS174" s="361"/>
      <c r="AT174" s="361"/>
      <c r="AU174" s="361"/>
      <c r="AV174" s="338" t="s">
        <v>313</v>
      </c>
      <c r="AW174" s="338" t="s">
        <v>313</v>
      </c>
      <c r="AX174" s="350" t="s">
        <v>509</v>
      </c>
      <c r="AY174" s="356" t="s">
        <v>509</v>
      </c>
      <c r="AZ174" s="352" t="s">
        <v>1256</v>
      </c>
      <c r="BA174" s="350"/>
      <c r="BB174" s="350"/>
      <c r="BC174" s="195" t="s">
        <v>316</v>
      </c>
      <c r="BD174" s="195"/>
      <c r="BE174" s="195"/>
      <c r="BF174" s="195" t="s">
        <v>263</v>
      </c>
      <c r="BG174" s="195"/>
      <c r="BH174" s="350"/>
    </row>
    <row r="175" spans="1:62" ht="65.25" customHeight="1">
      <c r="A175" s="344">
        <f>SUBTOTAL(3,C$11:$C175)</f>
        <v>121</v>
      </c>
      <c r="B175" s="337" t="s">
        <v>523</v>
      </c>
      <c r="C175" s="338" t="s">
        <v>48</v>
      </c>
      <c r="D175" s="339">
        <v>0.42</v>
      </c>
      <c r="E175" s="339">
        <v>0.17</v>
      </c>
      <c r="F175" s="339">
        <v>0.25</v>
      </c>
      <c r="G175" s="414">
        <f t="shared" si="21"/>
        <v>0.25</v>
      </c>
      <c r="H175" s="413" t="s">
        <v>5</v>
      </c>
      <c r="I175" s="413" t="s">
        <v>7</v>
      </c>
      <c r="J175" s="413"/>
      <c r="K175" s="413" t="str">
        <f t="shared" si="22"/>
        <v xml:space="preserve">LUC, </v>
      </c>
      <c r="L175" s="413" t="str">
        <f t="shared" si="23"/>
        <v>LUC:0,25;</v>
      </c>
      <c r="M175" s="339">
        <v>0.25</v>
      </c>
      <c r="N175" s="339"/>
      <c r="O175" s="339"/>
      <c r="P175" s="339"/>
      <c r="Q175" s="339"/>
      <c r="R175" s="339"/>
      <c r="S175" s="339"/>
      <c r="T175" s="339"/>
      <c r="U175" s="339"/>
      <c r="V175" s="339"/>
      <c r="W175" s="339"/>
      <c r="X175" s="339"/>
      <c r="Y175" s="339"/>
      <c r="Z175" s="339"/>
      <c r="AA175" s="339"/>
      <c r="AB175" s="339"/>
      <c r="AC175" s="339"/>
      <c r="AD175" s="339"/>
      <c r="AE175" s="339"/>
      <c r="AF175" s="339"/>
      <c r="AG175" s="339"/>
      <c r="AH175" s="339"/>
      <c r="AI175" s="339"/>
      <c r="AJ175" s="339"/>
      <c r="AK175" s="339"/>
      <c r="AL175" s="339"/>
      <c r="AM175" s="339"/>
      <c r="AN175" s="339"/>
      <c r="AO175" s="339"/>
      <c r="AP175" s="339"/>
      <c r="AQ175" s="339"/>
      <c r="AR175" s="339"/>
      <c r="AS175" s="339"/>
      <c r="AT175" s="339"/>
      <c r="AU175" s="339"/>
      <c r="AV175" s="338" t="s">
        <v>306</v>
      </c>
      <c r="AW175" s="338" t="s">
        <v>306</v>
      </c>
      <c r="AX175" s="350" t="s">
        <v>524</v>
      </c>
      <c r="AY175" s="356" t="s">
        <v>524</v>
      </c>
      <c r="AZ175" s="352" t="s">
        <v>1264</v>
      </c>
      <c r="BA175" s="350"/>
      <c r="BB175" s="350"/>
      <c r="BC175" s="195" t="s">
        <v>316</v>
      </c>
      <c r="BD175" s="195"/>
      <c r="BE175" s="195"/>
      <c r="BF175" s="195" t="s">
        <v>263</v>
      </c>
      <c r="BG175" s="195"/>
      <c r="BH175" s="350"/>
    </row>
    <row r="176" spans="1:62" ht="42.75" customHeight="1">
      <c r="A176" s="344">
        <f>SUBTOTAL(3,C$11:$C176)</f>
        <v>122</v>
      </c>
      <c r="B176" s="362" t="s">
        <v>525</v>
      </c>
      <c r="C176" s="338" t="s">
        <v>48</v>
      </c>
      <c r="D176" s="361">
        <v>0.69</v>
      </c>
      <c r="E176" s="366">
        <v>0.44</v>
      </c>
      <c r="F176" s="361">
        <v>0.25</v>
      </c>
      <c r="G176" s="414">
        <f t="shared" si="21"/>
        <v>0.25</v>
      </c>
      <c r="H176" s="413" t="s">
        <v>11</v>
      </c>
      <c r="I176" s="413" t="s">
        <v>11</v>
      </c>
      <c r="J176" s="413"/>
      <c r="K176" s="413" t="str">
        <f t="shared" si="22"/>
        <v xml:space="preserve">HNK, </v>
      </c>
      <c r="L176" s="413" t="str">
        <f t="shared" si="23"/>
        <v>HNK:0,25;</v>
      </c>
      <c r="M176" s="361"/>
      <c r="N176" s="361"/>
      <c r="O176" s="361">
        <v>0.25</v>
      </c>
      <c r="P176" s="361"/>
      <c r="Q176" s="361"/>
      <c r="R176" s="361"/>
      <c r="S176" s="361"/>
      <c r="T176" s="361"/>
      <c r="U176" s="361"/>
      <c r="V176" s="361"/>
      <c r="W176" s="361"/>
      <c r="X176" s="361"/>
      <c r="Y176" s="361"/>
      <c r="Z176" s="361"/>
      <c r="AA176" s="361"/>
      <c r="AB176" s="361"/>
      <c r="AC176" s="361"/>
      <c r="AD176" s="361"/>
      <c r="AE176" s="361"/>
      <c r="AF176" s="361"/>
      <c r="AG176" s="361"/>
      <c r="AH176" s="361"/>
      <c r="AI176" s="361"/>
      <c r="AJ176" s="361"/>
      <c r="AK176" s="361"/>
      <c r="AL176" s="361"/>
      <c r="AM176" s="361"/>
      <c r="AN176" s="361"/>
      <c r="AO176" s="361"/>
      <c r="AP176" s="361"/>
      <c r="AQ176" s="361"/>
      <c r="AR176" s="361"/>
      <c r="AS176" s="361"/>
      <c r="AT176" s="361"/>
      <c r="AU176" s="361"/>
      <c r="AV176" s="338" t="s">
        <v>289</v>
      </c>
      <c r="AW176" s="338" t="s">
        <v>289</v>
      </c>
      <c r="AX176" s="350" t="s">
        <v>526</v>
      </c>
      <c r="AY176" s="356" t="s">
        <v>526</v>
      </c>
      <c r="AZ176" s="352" t="s">
        <v>1265</v>
      </c>
      <c r="BA176" s="350" t="s">
        <v>527</v>
      </c>
      <c r="BB176" s="350"/>
      <c r="BC176" s="195" t="s">
        <v>316</v>
      </c>
      <c r="BD176" s="195"/>
      <c r="BE176" s="195"/>
      <c r="BF176" s="195"/>
      <c r="BG176" s="195" t="s">
        <v>263</v>
      </c>
      <c r="BH176" s="350"/>
    </row>
    <row r="177" spans="1:62" ht="42" customHeight="1">
      <c r="A177" s="344">
        <f>SUBTOTAL(3,C$11:$C177)</f>
        <v>123</v>
      </c>
      <c r="B177" s="362" t="s">
        <v>528</v>
      </c>
      <c r="C177" s="338" t="s">
        <v>48</v>
      </c>
      <c r="D177" s="361">
        <v>1.23</v>
      </c>
      <c r="E177" s="361">
        <v>0.57999999999999996</v>
      </c>
      <c r="F177" s="361">
        <v>0.65</v>
      </c>
      <c r="G177" s="414">
        <f t="shared" si="21"/>
        <v>0.65</v>
      </c>
      <c r="H177" s="413" t="s">
        <v>1094</v>
      </c>
      <c r="I177" s="413" t="s">
        <v>1095</v>
      </c>
      <c r="J177" s="413"/>
      <c r="K177" s="413" t="str">
        <f t="shared" si="22"/>
        <v xml:space="preserve">LUC, HNK, </v>
      </c>
      <c r="L177" s="413" t="str">
        <f t="shared" si="23"/>
        <v>LUC:0,33;HNK:0,32;</v>
      </c>
      <c r="M177" s="361">
        <v>0.33</v>
      </c>
      <c r="N177" s="361"/>
      <c r="O177" s="361">
        <v>0.32</v>
      </c>
      <c r="P177" s="361"/>
      <c r="Q177" s="361"/>
      <c r="R177" s="361"/>
      <c r="S177" s="361"/>
      <c r="T177" s="361"/>
      <c r="U177" s="361"/>
      <c r="V177" s="361"/>
      <c r="W177" s="361"/>
      <c r="X177" s="361"/>
      <c r="Y177" s="361"/>
      <c r="Z177" s="361"/>
      <c r="AA177" s="361"/>
      <c r="AB177" s="361"/>
      <c r="AC177" s="361"/>
      <c r="AD177" s="361"/>
      <c r="AE177" s="361"/>
      <c r="AF177" s="361"/>
      <c r="AG177" s="361"/>
      <c r="AH177" s="361"/>
      <c r="AI177" s="361"/>
      <c r="AJ177" s="361"/>
      <c r="AK177" s="361"/>
      <c r="AL177" s="361"/>
      <c r="AM177" s="361"/>
      <c r="AN177" s="361"/>
      <c r="AO177" s="361"/>
      <c r="AP177" s="361"/>
      <c r="AQ177" s="361"/>
      <c r="AR177" s="361"/>
      <c r="AS177" s="361"/>
      <c r="AT177" s="361"/>
      <c r="AU177" s="361"/>
      <c r="AV177" s="338" t="s">
        <v>280</v>
      </c>
      <c r="AW177" s="338" t="s">
        <v>280</v>
      </c>
      <c r="AX177" s="350" t="s">
        <v>529</v>
      </c>
      <c r="AY177" s="356" t="s">
        <v>529</v>
      </c>
      <c r="AZ177" s="352" t="s">
        <v>1266</v>
      </c>
      <c r="BA177" s="350"/>
      <c r="BB177" s="350"/>
      <c r="BC177" s="195" t="s">
        <v>267</v>
      </c>
      <c r="BD177" s="195"/>
      <c r="BE177" s="195"/>
      <c r="BF177" s="195" t="s">
        <v>263</v>
      </c>
      <c r="BG177" s="195"/>
      <c r="BH177" s="350" t="s">
        <v>530</v>
      </c>
    </row>
    <row r="178" spans="1:62" ht="42" customHeight="1">
      <c r="A178" s="344">
        <f>SUBTOTAL(3,C$11:$C178)</f>
        <v>124</v>
      </c>
      <c r="B178" s="362" t="s">
        <v>533</v>
      </c>
      <c r="C178" s="338" t="s">
        <v>48</v>
      </c>
      <c r="D178" s="351">
        <v>0.53</v>
      </c>
      <c r="E178" s="351">
        <v>0.24</v>
      </c>
      <c r="F178" s="339">
        <v>0.28999999999999998</v>
      </c>
      <c r="G178" s="414">
        <f t="shared" si="21"/>
        <v>0.28999999999999998</v>
      </c>
      <c r="H178" s="413" t="s">
        <v>5</v>
      </c>
      <c r="I178" s="413" t="s">
        <v>7</v>
      </c>
      <c r="J178" s="413"/>
      <c r="K178" s="413" t="str">
        <f t="shared" si="22"/>
        <v xml:space="preserve">LUC, </v>
      </c>
      <c r="L178" s="413" t="str">
        <f t="shared" si="23"/>
        <v>LUC:0,29;</v>
      </c>
      <c r="M178" s="339">
        <v>0.28999999999999998</v>
      </c>
      <c r="N178" s="339"/>
      <c r="O178" s="339"/>
      <c r="P178" s="339"/>
      <c r="Q178" s="339"/>
      <c r="R178" s="339"/>
      <c r="S178" s="339"/>
      <c r="T178" s="339"/>
      <c r="U178" s="339"/>
      <c r="V178" s="339"/>
      <c r="W178" s="339"/>
      <c r="X178" s="339"/>
      <c r="Y178" s="339"/>
      <c r="Z178" s="339"/>
      <c r="AA178" s="339"/>
      <c r="AB178" s="339"/>
      <c r="AC178" s="339"/>
      <c r="AD178" s="339"/>
      <c r="AE178" s="339"/>
      <c r="AF178" s="339"/>
      <c r="AG178" s="339"/>
      <c r="AH178" s="339"/>
      <c r="AI178" s="339"/>
      <c r="AJ178" s="339"/>
      <c r="AK178" s="339"/>
      <c r="AL178" s="339"/>
      <c r="AM178" s="339"/>
      <c r="AN178" s="339"/>
      <c r="AO178" s="339"/>
      <c r="AP178" s="339"/>
      <c r="AQ178" s="339"/>
      <c r="AR178" s="339"/>
      <c r="AS178" s="339"/>
      <c r="AT178" s="339"/>
      <c r="AU178" s="339"/>
      <c r="AV178" s="338" t="s">
        <v>283</v>
      </c>
      <c r="AW178" s="338" t="s">
        <v>283</v>
      </c>
      <c r="AX178" s="350" t="s">
        <v>534</v>
      </c>
      <c r="AY178" s="356" t="s">
        <v>534</v>
      </c>
      <c r="AZ178" s="352" t="s">
        <v>1268</v>
      </c>
      <c r="BA178" s="350"/>
      <c r="BB178" s="350"/>
      <c r="BC178" s="195" t="s">
        <v>316</v>
      </c>
      <c r="BD178" s="195"/>
      <c r="BE178" s="195"/>
      <c r="BF178" s="195"/>
      <c r="BG178" s="195" t="s">
        <v>263</v>
      </c>
      <c r="BH178" s="350"/>
    </row>
    <row r="179" spans="1:62" ht="63" customHeight="1">
      <c r="A179" s="344">
        <f>SUBTOTAL(3,C$11:$C179)</f>
        <v>125</v>
      </c>
      <c r="B179" s="337" t="s">
        <v>542</v>
      </c>
      <c r="C179" s="338" t="s">
        <v>48</v>
      </c>
      <c r="D179" s="339">
        <f>0.4+1.12</f>
        <v>1.52</v>
      </c>
      <c r="E179" s="339">
        <v>0.4</v>
      </c>
      <c r="F179" s="339">
        <v>1.1200000000000001</v>
      </c>
      <c r="G179" s="414">
        <f t="shared" si="21"/>
        <v>0.4</v>
      </c>
      <c r="H179" s="413" t="s">
        <v>1272</v>
      </c>
      <c r="I179" s="413" t="s">
        <v>1273</v>
      </c>
      <c r="J179" s="413"/>
      <c r="K179" s="413" t="str">
        <f t="shared" si="22"/>
        <v xml:space="preserve">DGD, </v>
      </c>
      <c r="L179" s="413" t="str">
        <f t="shared" si="23"/>
        <v>DGD:0,4;</v>
      </c>
      <c r="M179" s="339"/>
      <c r="N179" s="339"/>
      <c r="O179" s="339"/>
      <c r="P179" s="339"/>
      <c r="Q179" s="339"/>
      <c r="R179" s="339"/>
      <c r="S179" s="339"/>
      <c r="T179" s="339"/>
      <c r="U179" s="339"/>
      <c r="V179" s="339"/>
      <c r="W179" s="339"/>
      <c r="X179" s="339"/>
      <c r="Y179" s="339"/>
      <c r="Z179" s="339"/>
      <c r="AA179" s="339">
        <v>0.4</v>
      </c>
      <c r="AB179" s="339"/>
      <c r="AC179" s="339"/>
      <c r="AD179" s="339"/>
      <c r="AE179" s="339"/>
      <c r="AF179" s="339"/>
      <c r="AG179" s="339"/>
      <c r="AH179" s="339"/>
      <c r="AI179" s="339"/>
      <c r="AJ179" s="339"/>
      <c r="AK179" s="339"/>
      <c r="AL179" s="339"/>
      <c r="AM179" s="339"/>
      <c r="AN179" s="339"/>
      <c r="AO179" s="339"/>
      <c r="AP179" s="339"/>
      <c r="AQ179" s="339"/>
      <c r="AR179" s="339"/>
      <c r="AS179" s="339"/>
      <c r="AT179" s="339"/>
      <c r="AU179" s="339"/>
      <c r="AV179" s="338" t="s">
        <v>286</v>
      </c>
      <c r="AW179" s="338" t="s">
        <v>286</v>
      </c>
      <c r="AX179" s="350" t="s">
        <v>543</v>
      </c>
      <c r="AY179" s="356" t="s">
        <v>543</v>
      </c>
      <c r="AZ179" s="352" t="s">
        <v>1274</v>
      </c>
      <c r="BA179" s="350"/>
      <c r="BB179" s="350"/>
      <c r="BC179" s="195" t="s">
        <v>316</v>
      </c>
      <c r="BD179" s="195"/>
      <c r="BE179" s="195"/>
      <c r="BF179" s="195" t="s">
        <v>263</v>
      </c>
      <c r="BG179" s="195"/>
      <c r="BH179" s="350"/>
    </row>
    <row r="180" spans="1:62" ht="42" customHeight="1">
      <c r="A180" s="344">
        <f>SUBTOTAL(3,C$11:$C180)</f>
        <v>126</v>
      </c>
      <c r="B180" s="362" t="s">
        <v>546</v>
      </c>
      <c r="C180" s="338" t="s">
        <v>48</v>
      </c>
      <c r="D180" s="361">
        <v>0.4</v>
      </c>
      <c r="E180" s="339">
        <v>0.2</v>
      </c>
      <c r="F180" s="361">
        <v>0.2</v>
      </c>
      <c r="G180" s="414">
        <f t="shared" si="21"/>
        <v>0.2</v>
      </c>
      <c r="H180" s="413" t="s">
        <v>5</v>
      </c>
      <c r="I180" s="413" t="s">
        <v>7</v>
      </c>
      <c r="J180" s="413"/>
      <c r="K180" s="413" t="str">
        <f t="shared" si="22"/>
        <v xml:space="preserve">LUC, </v>
      </c>
      <c r="L180" s="413" t="str">
        <f t="shared" si="23"/>
        <v>LUC:0,2;</v>
      </c>
      <c r="M180" s="361">
        <v>0.2</v>
      </c>
      <c r="N180" s="361"/>
      <c r="O180" s="361"/>
      <c r="P180" s="361"/>
      <c r="Q180" s="361"/>
      <c r="R180" s="361"/>
      <c r="S180" s="361"/>
      <c r="T180" s="361"/>
      <c r="U180" s="361"/>
      <c r="V180" s="361"/>
      <c r="W180" s="361"/>
      <c r="X180" s="361"/>
      <c r="Y180" s="361"/>
      <c r="Z180" s="361"/>
      <c r="AA180" s="361"/>
      <c r="AB180" s="361"/>
      <c r="AC180" s="361"/>
      <c r="AD180" s="361"/>
      <c r="AE180" s="361"/>
      <c r="AF180" s="361"/>
      <c r="AG180" s="361"/>
      <c r="AH180" s="361"/>
      <c r="AI180" s="361"/>
      <c r="AJ180" s="361"/>
      <c r="AK180" s="361"/>
      <c r="AL180" s="361"/>
      <c r="AM180" s="361"/>
      <c r="AN180" s="361"/>
      <c r="AO180" s="361"/>
      <c r="AP180" s="361"/>
      <c r="AQ180" s="361"/>
      <c r="AR180" s="361"/>
      <c r="AS180" s="361"/>
      <c r="AT180" s="361"/>
      <c r="AU180" s="361"/>
      <c r="AV180" s="338" t="s">
        <v>295</v>
      </c>
      <c r="AW180" s="338" t="s">
        <v>295</v>
      </c>
      <c r="AX180" s="350" t="s">
        <v>547</v>
      </c>
      <c r="AY180" s="356" t="s">
        <v>547</v>
      </c>
      <c r="AZ180" s="352" t="s">
        <v>1276</v>
      </c>
      <c r="BA180" s="350"/>
      <c r="BB180" s="350"/>
      <c r="BC180" s="195" t="s">
        <v>316</v>
      </c>
      <c r="BD180" s="195"/>
      <c r="BE180" s="195"/>
      <c r="BF180" s="195" t="s">
        <v>263</v>
      </c>
      <c r="BG180" s="195"/>
      <c r="BH180" s="350"/>
    </row>
    <row r="181" spans="1:62" ht="42" customHeight="1">
      <c r="A181" s="344">
        <f>SUBTOTAL(3,C$11:$C181)</f>
        <v>127</v>
      </c>
      <c r="B181" s="362" t="s">
        <v>550</v>
      </c>
      <c r="C181" s="338" t="s">
        <v>48</v>
      </c>
      <c r="D181" s="339">
        <v>0.3</v>
      </c>
      <c r="E181" s="339"/>
      <c r="F181" s="339">
        <v>0.3</v>
      </c>
      <c r="G181" s="414">
        <f t="shared" si="21"/>
        <v>0.3</v>
      </c>
      <c r="H181" s="413" t="s">
        <v>5</v>
      </c>
      <c r="I181" s="413" t="s">
        <v>7</v>
      </c>
      <c r="J181" s="413"/>
      <c r="K181" s="413" t="str">
        <f t="shared" si="22"/>
        <v xml:space="preserve">LUC, </v>
      </c>
      <c r="L181" s="413" t="str">
        <f t="shared" si="23"/>
        <v>LUC:0,3;</v>
      </c>
      <c r="M181" s="339">
        <v>0.3</v>
      </c>
      <c r="N181" s="339"/>
      <c r="O181" s="339"/>
      <c r="P181" s="339"/>
      <c r="Q181" s="339"/>
      <c r="R181" s="339"/>
      <c r="S181" s="339"/>
      <c r="T181" s="339"/>
      <c r="U181" s="339"/>
      <c r="V181" s="339"/>
      <c r="W181" s="339"/>
      <c r="X181" s="339"/>
      <c r="Y181" s="339"/>
      <c r="Z181" s="339"/>
      <c r="AA181" s="339"/>
      <c r="AB181" s="339"/>
      <c r="AC181" s="339"/>
      <c r="AD181" s="339"/>
      <c r="AE181" s="339"/>
      <c r="AF181" s="339"/>
      <c r="AG181" s="339"/>
      <c r="AH181" s="339"/>
      <c r="AI181" s="339"/>
      <c r="AJ181" s="339"/>
      <c r="AK181" s="339"/>
      <c r="AL181" s="339"/>
      <c r="AM181" s="339"/>
      <c r="AN181" s="339"/>
      <c r="AO181" s="339"/>
      <c r="AP181" s="339"/>
      <c r="AQ181" s="339"/>
      <c r="AR181" s="339"/>
      <c r="AS181" s="339"/>
      <c r="AT181" s="339"/>
      <c r="AU181" s="339"/>
      <c r="AV181" s="338" t="s">
        <v>370</v>
      </c>
      <c r="AW181" s="338" t="s">
        <v>370</v>
      </c>
      <c r="AX181" s="350" t="s">
        <v>551</v>
      </c>
      <c r="AY181" s="356" t="s">
        <v>551</v>
      </c>
      <c r="AZ181" s="352" t="s">
        <v>1278</v>
      </c>
      <c r="BA181" s="350"/>
      <c r="BB181" s="350"/>
      <c r="BC181" s="195" t="s">
        <v>316</v>
      </c>
      <c r="BD181" s="195"/>
      <c r="BE181" s="195"/>
      <c r="BF181" s="195" t="s">
        <v>263</v>
      </c>
      <c r="BG181" s="195"/>
      <c r="BH181" s="350"/>
    </row>
    <row r="182" spans="1:62" ht="45.65" customHeight="1">
      <c r="A182" s="344">
        <f>SUBTOTAL(3,C$11:$C182)</f>
        <v>128</v>
      </c>
      <c r="B182" s="362" t="s">
        <v>561</v>
      </c>
      <c r="C182" s="338" t="s">
        <v>48</v>
      </c>
      <c r="D182" s="339">
        <v>0.68</v>
      </c>
      <c r="E182" s="339">
        <v>0.53</v>
      </c>
      <c r="F182" s="339">
        <v>0.15</v>
      </c>
      <c r="G182" s="414">
        <f t="shared" si="21"/>
        <v>0.15</v>
      </c>
      <c r="H182" s="413" t="s">
        <v>5</v>
      </c>
      <c r="I182" s="413" t="s">
        <v>7</v>
      </c>
      <c r="J182" s="413"/>
      <c r="K182" s="413" t="str">
        <f>IF(M182&lt;&gt;0,'[1]Hủy bỏ'!$L$5&amp;", ","")&amp;IF(N182&lt;&gt;0,'[1]Hủy bỏ'!$M$5&amp;", ","")&amp;IF(O182&lt;&gt;0,'[1]Hủy bỏ'!N$5&amp;", ","")&amp;IF(P182&lt;&gt;0,'[1]Hủy bỏ'!O$5&amp;", ","")&amp;IF(Q182&lt;&gt;0,'[1]Hủy bỏ'!P$5&amp;", ","")&amp;IF(R182&lt;&gt;0,'[1]Hủy bỏ'!Q$5&amp;", ","")&amp;IF(S182&lt;&gt;0,'[1]Hủy bỏ'!R$5&amp;", ","")&amp;IF(T182&lt;&gt;0,'[1]Hủy bỏ'!S$5&amp;", ","")&amp;IF(U182&lt;&gt;0,'[1]Hủy bỏ'!T$5&amp;", ","")&amp;IF(V182&lt;&gt;0,'[1]Hủy bỏ'!U$5&amp;", ","")&amp;IF(W182&lt;&gt;0,'[1]Hủy bỏ'!V$5&amp;", ","")&amp;IF(X182&lt;&gt;0,'[1]Hủy bỏ'!W$5&amp;", ","")&amp;IF(Y182&lt;&gt;0,'[1]Hủy bỏ'!X$5&amp;", ","")&amp;IF(Z182&lt;&gt;0,'[1]Hủy bỏ'!Y$5&amp;", ","")&amp;IF(AA182&lt;&gt;0,'[1]Hủy bỏ'!Z$5&amp;", ","")&amp;IF(AB182&lt;&gt;0,'[1]Hủy bỏ'!AA$5&amp;", ","")&amp;IF(AC182&lt;&gt;0,'[1]Hủy bỏ'!AB$5&amp;", ","")&amp;IF(AD182&lt;&gt;0,'[1]Hủy bỏ'!AC$5&amp;", ","")&amp;IF(AE182&lt;&gt;0,'[1]Hủy bỏ'!AD$5&amp;", ","")&amp;IF(AF182&lt;&gt;0,'[1]Hủy bỏ'!AE$5&amp;", ","")&amp;IF(AG182&lt;&gt;0,'[1]Hủy bỏ'!AF$5&amp;", ","")&amp;IF(AH182&lt;&gt;0,'[1]Hủy bỏ'!AG$5&amp;", ","")&amp;IF(AI182&lt;&gt;0,'[1]Hủy bỏ'!AH$5&amp;", ","")&amp;IF(AJ182&lt;&gt;0,'[1]Hủy bỏ'!AI$5&amp;", ","")&amp;IF(AK182&lt;&gt;0,'[1]Hủy bỏ'!AJ$5&amp;", ","")&amp;IF(AL182&lt;&gt;0,'[1]Hủy bỏ'!AK$5&amp;", ","")&amp;IF(AM182&lt;&gt;0,'[1]Hủy bỏ'!AL$5&amp;", ","")&amp;IF(AN182&lt;&gt;0,'[1]Hủy bỏ'!AM$5&amp;", ","")&amp;IF(AO182&lt;&gt;0,'[1]Hủy bỏ'!AN$5&amp;", ","")&amp;IF(AP182&lt;&gt;0,'[1]Hủy bỏ'!AO$5&amp;", ","")&amp;IF(AQ182&lt;&gt;0,'[1]Hủy bỏ'!AP$5&amp;", ","")&amp;IF(AR182&lt;&gt;0,'[1]Hủy bỏ'!AQ$5,"")&amp;IF(AS182&lt;&gt;0,'[1]Hủy bỏ'!AR$5,"")&amp;IF(AT182&lt;&gt;0,'[1]Hủy bỏ'!AS$5,"")&amp;IF(AU182&lt;&gt;0,'[1]Hủy bỏ'!AT$5,"")</f>
        <v xml:space="preserve">LUC, </v>
      </c>
      <c r="L182" s="413" t="str">
        <f>IF(M182="","",'[1]Hủy bỏ'!$L$5&amp;":"&amp;M182&amp;";")&amp;IF(N182="","",'[1]Hủy bỏ'!$M$5&amp;":"&amp;N182&amp;";")&amp;IF(O182="","",'[1]Hủy bỏ'!$N$5&amp;":"&amp;O182&amp;";")&amp;IF(P182="","",'[1]Hủy bỏ'!$O$5&amp;":"&amp;P182&amp;";")&amp;IF(Q182="","",'[1]Hủy bỏ'!$P$5&amp;":"&amp;Q182&amp;";")&amp;IF(R182="","",'[1]Hủy bỏ'!$Q$5&amp;":"&amp;R182&amp;";")&amp;IF(S182="","",'[1]Hủy bỏ'!$R$5&amp;":"&amp;S182&amp;";")&amp;IF(T182="","",'[1]Hủy bỏ'!$S$5&amp;":"&amp;T182&amp;";")&amp;IF(U182="","",'[1]Hủy bỏ'!$T$5&amp;":"&amp;U182&amp;";")&amp;IF(V182="","",'[1]Hủy bỏ'!$U$5&amp;":"&amp;V182&amp;";")&amp;IF(W182="","",'[1]Hủy bỏ'!$V$5&amp;":"&amp;W182&amp;";")&amp;IF(X182="","",'[1]Hủy bỏ'!$W$5&amp;":"&amp;X182&amp;";")&amp;IF(Y182="","",'[1]Hủy bỏ'!$X$5&amp;":"&amp;Y182&amp;";")&amp;IF(Z182="","",'[1]Hủy bỏ'!$Y$5&amp;":"&amp;Z182&amp;";")&amp;IF(AA182="","",'[1]Hủy bỏ'!$Z$5&amp;":"&amp;AA182&amp;";")&amp;IF(AB182="","",'[1]Hủy bỏ'!$AA$5&amp;":"&amp;AB182&amp;";")&amp;IF(AC182="","",'[1]Hủy bỏ'!$AB$5&amp;":"&amp;AC182&amp;";")&amp;IF(AD182="","",'[1]Hủy bỏ'!$AC$5&amp;":"&amp;AD182&amp;";")&amp;IF(AE182="","",'[1]Hủy bỏ'!$AD$5&amp;":"&amp;AE182&amp;";")&amp;IF(AF182="","",'[1]Hủy bỏ'!$AE$5&amp;":"&amp;AF182&amp;";")&amp;IF(AG182="","",'[1]Hủy bỏ'!$AF$5&amp;":"&amp;AG182&amp;";")&amp;IF(AH182="","",'[1]Hủy bỏ'!$AG$5&amp;":"&amp;AH182&amp;";")&amp;IF(AI182="","",'[1]Hủy bỏ'!$AH$5&amp;":"&amp;AI182&amp;";")&amp;IF(AJ182="","",'[1]Hủy bỏ'!$AI$5&amp;":"&amp;AJ182&amp;";")&amp;IF(AK182="","",'[1]Hủy bỏ'!$AJ$5&amp;":"&amp;AK182&amp;";")&amp;IF(AL182="","",'[1]Hủy bỏ'!$AK$5&amp;":"&amp;AL182&amp;";")&amp;IF(AM182="","",'[1]Hủy bỏ'!$AL$5&amp;":"&amp;AM182&amp;";")&amp;IF(AN182="","",'[1]Hủy bỏ'!$AM$5&amp;":"&amp;AN182&amp;";")&amp;IF(AO182="","",'[1]Hủy bỏ'!$AN$5&amp;":"&amp;AO182&amp;";")&amp;IF(AP182="","",'[1]Hủy bỏ'!$AO$5&amp;":"&amp;AP182&amp;";")&amp;IF(AQ182="","",'[1]Hủy bỏ'!$AP$5&amp;":"&amp;AQ182&amp;";")&amp;IF(AR182="","",'[1]Hủy bỏ'!$AQ$5&amp;":"&amp;AR182&amp;";")&amp;IF(AS182="","",'[1]Hủy bỏ'!$AR$5&amp;":"&amp;AS182&amp;";")&amp;IF(AT182="","",'[1]Hủy bỏ'!$AS$5&amp;":"&amp;AT182&amp;";")&amp;IF(AU182="","",'[1]Hủy bỏ'!$AT$5&amp;":"&amp;AU182&amp;";")</f>
        <v>LUC:0,15;</v>
      </c>
      <c r="M182" s="339">
        <v>0.15</v>
      </c>
      <c r="N182" s="339"/>
      <c r="O182" s="339"/>
      <c r="P182" s="339"/>
      <c r="Q182" s="339"/>
      <c r="R182" s="339"/>
      <c r="S182" s="339"/>
      <c r="T182" s="339"/>
      <c r="U182" s="339"/>
      <c r="V182" s="339"/>
      <c r="W182" s="339"/>
      <c r="X182" s="339"/>
      <c r="Y182" s="339"/>
      <c r="Z182" s="339"/>
      <c r="AA182" s="339"/>
      <c r="AB182" s="339"/>
      <c r="AC182" s="339"/>
      <c r="AD182" s="339"/>
      <c r="AE182" s="339"/>
      <c r="AF182" s="339"/>
      <c r="AG182" s="339"/>
      <c r="AH182" s="339"/>
      <c r="AI182" s="339"/>
      <c r="AJ182" s="339"/>
      <c r="AK182" s="339"/>
      <c r="AL182" s="339"/>
      <c r="AM182" s="339"/>
      <c r="AN182" s="339"/>
      <c r="AO182" s="339"/>
      <c r="AP182" s="339"/>
      <c r="AQ182" s="339"/>
      <c r="AR182" s="339"/>
      <c r="AS182" s="339"/>
      <c r="AT182" s="339"/>
      <c r="AU182" s="339"/>
      <c r="AV182" s="338" t="s">
        <v>309</v>
      </c>
      <c r="AW182" s="338" t="s">
        <v>309</v>
      </c>
      <c r="AX182" s="350" t="s">
        <v>1283</v>
      </c>
      <c r="AY182" s="356" t="s">
        <v>1283</v>
      </c>
      <c r="AZ182" s="352" t="s">
        <v>1284</v>
      </c>
      <c r="BA182" s="350" t="s">
        <v>562</v>
      </c>
      <c r="BB182" s="350"/>
      <c r="BC182" s="195" t="s">
        <v>270</v>
      </c>
      <c r="BD182" s="195"/>
      <c r="BE182" s="195" t="s">
        <v>263</v>
      </c>
      <c r="BF182" s="195"/>
      <c r="BG182" s="195"/>
      <c r="BH182" s="350"/>
    </row>
    <row r="183" spans="1:62" ht="56.4" customHeight="1">
      <c r="A183" s="344">
        <f>SUBTOTAL(3,C$11:$C183)</f>
        <v>129</v>
      </c>
      <c r="B183" s="362" t="s">
        <v>516</v>
      </c>
      <c r="C183" s="338" t="s">
        <v>48</v>
      </c>
      <c r="D183" s="351">
        <v>1.2</v>
      </c>
      <c r="E183" s="351">
        <v>0.31</v>
      </c>
      <c r="F183" s="339">
        <v>0.89</v>
      </c>
      <c r="G183" s="414">
        <f t="shared" si="21"/>
        <v>0.89</v>
      </c>
      <c r="H183" s="413" t="s">
        <v>1120</v>
      </c>
      <c r="I183" s="413" t="s">
        <v>1120</v>
      </c>
      <c r="J183" s="413"/>
      <c r="K183" s="413" t="str">
        <f>IF(M183&lt;&gt;0,$M$5&amp;", ","")&amp;IF(N183&lt;&gt;0,$N$5&amp;", ","")&amp;IF(O183&lt;&gt;0,O$5&amp;", ","")&amp;IF(P183&lt;&gt;0,P$5&amp;", ","")&amp;IF(Q183&lt;&gt;0,Q$5&amp;", ","")&amp;IF(R183&lt;&gt;0,R$5&amp;", ","")&amp;IF(S183&lt;&gt;0,S$5&amp;", ","")&amp;IF(T183&lt;&gt;0,T$5&amp;", ","")&amp;IF(U183&lt;&gt;0,U$5&amp;", ","")&amp;IF(V183&lt;&gt;0,V$5&amp;", ","")&amp;IF(W183&lt;&gt;0,W$5&amp;", ","")&amp;IF(X183&lt;&gt;0,X$5&amp;", ","")&amp;IF(Y183&lt;&gt;0,Y$5&amp;", ","")&amp;IF(Z183&lt;&gt;0,Z$5&amp;", ","")&amp;IF(AA183&lt;&gt;0,AA$5&amp;", ","")&amp;IF(AB183&lt;&gt;0,AB$5&amp;", ","")&amp;IF(AC183&lt;&gt;0,AC$5&amp;", ","")&amp;IF(AD183&lt;&gt;0,AD$5&amp;", ","")&amp;IF(AE183&lt;&gt;0,AE$5&amp;", ","")&amp;IF(AF183&lt;&gt;0,AF$5&amp;", ","")&amp;IF(AG183&lt;&gt;0,AG$5&amp;", ","")&amp;IF(AH183&lt;&gt;0,AH$5&amp;", ","")&amp;IF(AI183&lt;&gt;0,AI$5&amp;", ","")&amp;IF(AJ183&lt;&gt;0,AJ$5&amp;", ","")&amp;IF(AK183&lt;&gt;0,AK$5&amp;", ","")&amp;IF(AL183&lt;&gt;0,AL$5&amp;", ","")&amp;IF(AM183&lt;&gt;0,AM$5&amp;", ","")&amp;IF(AN183&lt;&gt;0,AN$5&amp;", ","")&amp;IF(AO183&lt;&gt;0,AO$5&amp;", ","")&amp;IF(AP183&lt;&gt;0,AP$5&amp;", ","")&amp;IF(AQ183&lt;&gt;0,AQ$5&amp;", ","")&amp;IF(AR183&lt;&gt;0,AR$5,"")&amp;IF(AS183&lt;&gt;0,AS$5,"")&amp;IF(AT183&lt;&gt;0,AT$5,"")&amp;IF(AU183&lt;&gt;0,AU$5,"")</f>
        <v xml:space="preserve">HNK, CLN, </v>
      </c>
      <c r="L183" s="413" t="str">
        <f t="shared" ref="L183:L193" si="24">IF(M183="","",$M$5&amp;":"&amp;M183&amp;";")&amp;IF(N183="","",$N$5&amp;":"&amp;N183&amp;";")&amp;IF(O183="","",$O$5&amp;":"&amp;O183&amp;";")&amp;IF(P183="","",$P$5&amp;":"&amp;P183&amp;";")&amp;IF(Q183="","",$Q$5&amp;":"&amp;Q183&amp;";")&amp;IF(R183="","",$R$5&amp;":"&amp;R183&amp;";")&amp;IF(S183="","",$S$5&amp;":"&amp;S183&amp;";")&amp;IF(T183="","",$T$5&amp;":"&amp;T183&amp;";")&amp;IF(U183="","",$U$5&amp;":"&amp;U183&amp;";")&amp;IF(V183="","",$V$5&amp;":"&amp;V183&amp;";")&amp;IF(W183="","",$W$5&amp;":"&amp;W183&amp;";")&amp;IF(X183="","",$X$5&amp;":"&amp;X183&amp;";")&amp;IF(Y183="","",$Y$5&amp;":"&amp;Y183&amp;";")&amp;IF(Z183="","",$Z$5&amp;":"&amp;Z183&amp;";")&amp;IF(AA183="","",$AA$5&amp;":"&amp;AA183&amp;";")&amp;IF(AB183="","",$AB$5&amp;":"&amp;AB183&amp;";")&amp;IF(AC183="","",$AC$5&amp;":"&amp;AC183&amp;";")&amp;IF(AD183="","",$AD$5&amp;":"&amp;AD183&amp;";")&amp;IF(AE183="","",$AE$5&amp;":"&amp;AE183&amp;";")&amp;IF(AF183="","",$AF$5&amp;":"&amp;AF183&amp;";")&amp;IF(AG183="","",$AG$5&amp;":"&amp;AG183&amp;";")&amp;IF(AH183="","",$AH$5&amp;":"&amp;AH183&amp;";")&amp;IF(AI183="","",$AI$5&amp;":"&amp;AI183&amp;";")&amp;IF(AJ183="","",$AJ$5&amp;":"&amp;AJ183&amp;";")&amp;IF(AK183="","",$AK$5&amp;":"&amp;AK183&amp;";")&amp;IF(AL183="","",$AL$5&amp;":"&amp;AL183&amp;";")&amp;IF(AM183="","",$AM$5&amp;":"&amp;AM183&amp;";")&amp;IF(AN183="","",$AN$5&amp;":"&amp;AN183&amp;";")&amp;IF(AO183="","",$AO$5&amp;":"&amp;AO183&amp;";")&amp;IF(AP183="","",$AP$5&amp;":"&amp;AP183&amp;";")&amp;IF(AQ183="","",$AQ$5&amp;":"&amp;AQ183&amp;";")&amp;IF(AR183="","",$AR$5&amp;":"&amp;AR183&amp;";")&amp;IF(AS183="","",$AS$5&amp;":"&amp;AS183&amp;";")&amp;IF(AT183="","",$AT$5&amp;":"&amp;AT183&amp;";")&amp;IF(AU183="","",$AU$5&amp;":"&amp;AU183&amp;";")</f>
        <v>HNK:0,79;CLN:0,1;</v>
      </c>
      <c r="M183" s="339"/>
      <c r="N183" s="339"/>
      <c r="O183" s="339">
        <v>0.79</v>
      </c>
      <c r="P183" s="339">
        <v>0.1</v>
      </c>
      <c r="Q183" s="339"/>
      <c r="R183" s="339"/>
      <c r="S183" s="339"/>
      <c r="T183" s="339"/>
      <c r="U183" s="339"/>
      <c r="V183" s="339"/>
      <c r="W183" s="339"/>
      <c r="X183" s="339"/>
      <c r="Y183" s="339"/>
      <c r="Z183" s="339"/>
      <c r="AA183" s="339"/>
      <c r="AB183" s="339"/>
      <c r="AC183" s="339"/>
      <c r="AD183" s="339"/>
      <c r="AE183" s="339"/>
      <c r="AF183" s="339"/>
      <c r="AG183" s="339"/>
      <c r="AH183" s="339"/>
      <c r="AI183" s="339"/>
      <c r="AJ183" s="339"/>
      <c r="AK183" s="339"/>
      <c r="AL183" s="339"/>
      <c r="AM183" s="339"/>
      <c r="AN183" s="339"/>
      <c r="AO183" s="339"/>
      <c r="AP183" s="339"/>
      <c r="AQ183" s="339"/>
      <c r="AR183" s="339"/>
      <c r="AS183" s="339"/>
      <c r="AT183" s="339"/>
      <c r="AU183" s="339"/>
      <c r="AV183" s="338" t="s">
        <v>306</v>
      </c>
      <c r="AW183" s="338" t="s">
        <v>306</v>
      </c>
      <c r="AX183" s="350" t="s">
        <v>517</v>
      </c>
      <c r="AY183" s="356" t="s">
        <v>517</v>
      </c>
      <c r="AZ183" s="352" t="s">
        <v>1260</v>
      </c>
      <c r="BA183" s="350"/>
      <c r="BB183" s="350"/>
      <c r="BC183" s="195" t="s">
        <v>316</v>
      </c>
      <c r="BD183" s="195"/>
      <c r="BE183" s="195"/>
      <c r="BF183" s="195" t="s">
        <v>263</v>
      </c>
      <c r="BG183" s="195"/>
      <c r="BH183" s="350"/>
    </row>
    <row r="184" spans="1:62" s="179" customFormat="1" ht="24.65" customHeight="1">
      <c r="A184" s="145"/>
      <c r="B184" s="163" t="s">
        <v>1758</v>
      </c>
      <c r="C184" s="164"/>
      <c r="D184" s="368"/>
      <c r="E184" s="368"/>
      <c r="F184" s="368"/>
      <c r="G184" s="410"/>
      <c r="H184" s="411"/>
      <c r="I184" s="411"/>
      <c r="J184" s="411"/>
      <c r="K184" s="411"/>
      <c r="L184" s="411"/>
      <c r="M184" s="368"/>
      <c r="N184" s="368"/>
      <c r="O184" s="368"/>
      <c r="P184" s="368"/>
      <c r="Q184" s="368"/>
      <c r="R184" s="368"/>
      <c r="S184" s="368"/>
      <c r="T184" s="368"/>
      <c r="U184" s="368"/>
      <c r="V184" s="368"/>
      <c r="W184" s="368"/>
      <c r="X184" s="368"/>
      <c r="Y184" s="368"/>
      <c r="Z184" s="368"/>
      <c r="AA184" s="368"/>
      <c r="AB184" s="368"/>
      <c r="AC184" s="368"/>
      <c r="AD184" s="368"/>
      <c r="AE184" s="368"/>
      <c r="AF184" s="368"/>
      <c r="AG184" s="368"/>
      <c r="AH184" s="368"/>
      <c r="AI184" s="368"/>
      <c r="AJ184" s="368"/>
      <c r="AK184" s="368"/>
      <c r="AL184" s="368"/>
      <c r="AM184" s="368"/>
      <c r="AN184" s="368"/>
      <c r="AO184" s="368"/>
      <c r="AP184" s="368"/>
      <c r="AQ184" s="368"/>
      <c r="AR184" s="368"/>
      <c r="AS184" s="368"/>
      <c r="AT184" s="368"/>
      <c r="AU184" s="368"/>
      <c r="AV184" s="368"/>
      <c r="AW184" s="368"/>
      <c r="AX184" s="368"/>
      <c r="AY184" s="257"/>
      <c r="AZ184" s="178"/>
      <c r="BA184" s="368"/>
      <c r="BB184" s="368"/>
      <c r="BC184" s="165"/>
      <c r="BD184" s="165"/>
      <c r="BE184" s="165"/>
      <c r="BF184" s="165"/>
      <c r="BG184" s="165"/>
      <c r="BH184" s="368"/>
      <c r="BI184" s="412"/>
      <c r="BJ184" s="412"/>
    </row>
    <row r="185" spans="1:62" s="485" customFormat="1" ht="43" customHeight="1">
      <c r="A185" s="444"/>
      <c r="B185" s="479" t="s">
        <v>561</v>
      </c>
      <c r="C185" s="422" t="s">
        <v>48</v>
      </c>
      <c r="D185" s="447">
        <v>1.23</v>
      </c>
      <c r="E185" s="480">
        <v>0.48</v>
      </c>
      <c r="F185" s="480">
        <v>0.75</v>
      </c>
      <c r="G185" s="481"/>
      <c r="H185" s="420"/>
      <c r="I185" s="420"/>
      <c r="J185" s="420"/>
      <c r="K185" s="420"/>
      <c r="L185" s="420"/>
      <c r="M185" s="446"/>
      <c r="N185" s="446"/>
      <c r="O185" s="446"/>
      <c r="P185" s="446"/>
      <c r="Q185" s="446"/>
      <c r="R185" s="446"/>
      <c r="S185" s="446"/>
      <c r="T185" s="446"/>
      <c r="U185" s="446"/>
      <c r="V185" s="446"/>
      <c r="W185" s="446"/>
      <c r="X185" s="446"/>
      <c r="Y185" s="446"/>
      <c r="Z185" s="446"/>
      <c r="AA185" s="446"/>
      <c r="AB185" s="446"/>
      <c r="AC185" s="446"/>
      <c r="AD185" s="446"/>
      <c r="AE185" s="446"/>
      <c r="AF185" s="446"/>
      <c r="AG185" s="446"/>
      <c r="AH185" s="446"/>
      <c r="AI185" s="446"/>
      <c r="AJ185" s="446"/>
      <c r="AK185" s="446"/>
      <c r="AL185" s="446"/>
      <c r="AM185" s="446"/>
      <c r="AN185" s="446"/>
      <c r="AO185" s="446"/>
      <c r="AP185" s="446"/>
      <c r="AQ185" s="446"/>
      <c r="AR185" s="446"/>
      <c r="AS185" s="446"/>
      <c r="AT185" s="446"/>
      <c r="AU185" s="446"/>
      <c r="AV185" s="422" t="s">
        <v>309</v>
      </c>
      <c r="AW185" s="422" t="s">
        <v>309</v>
      </c>
      <c r="AX185" s="449"/>
      <c r="AY185" s="482"/>
      <c r="AZ185" s="449"/>
      <c r="BA185" s="449"/>
      <c r="BB185" s="449"/>
      <c r="BC185" s="483"/>
      <c r="BD185" s="483"/>
      <c r="BE185" s="483"/>
      <c r="BF185" s="483"/>
      <c r="BG185" s="483"/>
      <c r="BH185" s="449"/>
      <c r="BI185" s="484" t="s">
        <v>1894</v>
      </c>
      <c r="BJ185" s="429"/>
    </row>
    <row r="186" spans="1:62" s="485" customFormat="1" ht="43" customHeight="1">
      <c r="A186" s="444"/>
      <c r="B186" s="479" t="s">
        <v>1895</v>
      </c>
      <c r="C186" s="422" t="s">
        <v>48</v>
      </c>
      <c r="D186" s="447">
        <v>1.46</v>
      </c>
      <c r="E186" s="480">
        <v>0</v>
      </c>
      <c r="F186" s="480">
        <v>0</v>
      </c>
      <c r="G186" s="481"/>
      <c r="H186" s="420"/>
      <c r="I186" s="420"/>
      <c r="J186" s="420"/>
      <c r="K186" s="420"/>
      <c r="L186" s="420"/>
      <c r="M186" s="446"/>
      <c r="N186" s="446"/>
      <c r="O186" s="446"/>
      <c r="P186" s="446"/>
      <c r="Q186" s="446"/>
      <c r="R186" s="446"/>
      <c r="S186" s="446"/>
      <c r="T186" s="446"/>
      <c r="U186" s="446"/>
      <c r="V186" s="446"/>
      <c r="W186" s="446"/>
      <c r="X186" s="446"/>
      <c r="Y186" s="446"/>
      <c r="Z186" s="446"/>
      <c r="AA186" s="446"/>
      <c r="AB186" s="446"/>
      <c r="AC186" s="446"/>
      <c r="AD186" s="446"/>
      <c r="AE186" s="446"/>
      <c r="AF186" s="446"/>
      <c r="AG186" s="446"/>
      <c r="AH186" s="446"/>
      <c r="AI186" s="446"/>
      <c r="AJ186" s="446"/>
      <c r="AK186" s="446"/>
      <c r="AL186" s="446"/>
      <c r="AM186" s="446"/>
      <c r="AN186" s="446"/>
      <c r="AO186" s="446"/>
      <c r="AP186" s="446"/>
      <c r="AQ186" s="446"/>
      <c r="AR186" s="446"/>
      <c r="AS186" s="446"/>
      <c r="AT186" s="446"/>
      <c r="AU186" s="446"/>
      <c r="AV186" s="422" t="s">
        <v>283</v>
      </c>
      <c r="AW186" s="422" t="s">
        <v>1896</v>
      </c>
      <c r="AX186" s="449"/>
      <c r="AY186" s="482"/>
      <c r="AZ186" s="449"/>
      <c r="BA186" s="449"/>
      <c r="BB186" s="449"/>
      <c r="BC186" s="483"/>
      <c r="BD186" s="483"/>
      <c r="BE186" s="483"/>
      <c r="BF186" s="483"/>
      <c r="BG186" s="483"/>
      <c r="BH186" s="449"/>
      <c r="BI186" s="484" t="s">
        <v>1859</v>
      </c>
      <c r="BJ186" s="429"/>
    </row>
    <row r="187" spans="1:62" s="485" customFormat="1" ht="43" customHeight="1">
      <c r="A187" s="444"/>
      <c r="B187" s="479" t="s">
        <v>1897</v>
      </c>
      <c r="C187" s="422" t="s">
        <v>48</v>
      </c>
      <c r="D187" s="447">
        <v>1.5</v>
      </c>
      <c r="E187" s="480"/>
      <c r="F187" s="447">
        <v>1.5</v>
      </c>
      <c r="G187" s="481"/>
      <c r="H187" s="420"/>
      <c r="I187" s="420"/>
      <c r="J187" s="420"/>
      <c r="K187" s="420"/>
      <c r="L187" s="420"/>
      <c r="M187" s="446"/>
      <c r="N187" s="446"/>
      <c r="O187" s="446"/>
      <c r="P187" s="446"/>
      <c r="Q187" s="446"/>
      <c r="R187" s="446"/>
      <c r="S187" s="446"/>
      <c r="T187" s="446"/>
      <c r="U187" s="446"/>
      <c r="V187" s="446"/>
      <c r="W187" s="446"/>
      <c r="X187" s="446"/>
      <c r="Y187" s="446"/>
      <c r="Z187" s="446"/>
      <c r="AA187" s="446"/>
      <c r="AB187" s="446"/>
      <c r="AC187" s="446"/>
      <c r="AD187" s="446"/>
      <c r="AE187" s="446"/>
      <c r="AF187" s="446"/>
      <c r="AG187" s="446"/>
      <c r="AH187" s="446"/>
      <c r="AI187" s="446"/>
      <c r="AJ187" s="446"/>
      <c r="AK187" s="446"/>
      <c r="AL187" s="446"/>
      <c r="AM187" s="446"/>
      <c r="AN187" s="446"/>
      <c r="AO187" s="446"/>
      <c r="AP187" s="446"/>
      <c r="AQ187" s="446"/>
      <c r="AR187" s="446"/>
      <c r="AS187" s="446"/>
      <c r="AT187" s="446"/>
      <c r="AU187" s="446"/>
      <c r="AV187" s="422" t="s">
        <v>289</v>
      </c>
      <c r="AW187" s="422"/>
      <c r="AX187" s="449"/>
      <c r="AY187" s="482"/>
      <c r="AZ187" s="449"/>
      <c r="BA187" s="449"/>
      <c r="BB187" s="449"/>
      <c r="BC187" s="483"/>
      <c r="BD187" s="483"/>
      <c r="BE187" s="483"/>
      <c r="BF187" s="483"/>
      <c r="BG187" s="483"/>
      <c r="BH187" s="449"/>
      <c r="BI187" s="484" t="s">
        <v>1859</v>
      </c>
      <c r="BJ187" s="429"/>
    </row>
    <row r="188" spans="1:62" s="485" customFormat="1" ht="43" customHeight="1">
      <c r="A188" s="444"/>
      <c r="B188" s="479" t="s">
        <v>1898</v>
      </c>
      <c r="C188" s="422" t="s">
        <v>48</v>
      </c>
      <c r="D188" s="447">
        <v>0.23</v>
      </c>
      <c r="E188" s="480"/>
      <c r="F188" s="447">
        <v>0.23</v>
      </c>
      <c r="G188" s="481"/>
      <c r="H188" s="420"/>
      <c r="I188" s="420"/>
      <c r="J188" s="420"/>
      <c r="K188" s="420"/>
      <c r="L188" s="420"/>
      <c r="M188" s="446"/>
      <c r="N188" s="446"/>
      <c r="O188" s="446"/>
      <c r="P188" s="446"/>
      <c r="Q188" s="446"/>
      <c r="R188" s="446"/>
      <c r="S188" s="446"/>
      <c r="T188" s="446"/>
      <c r="U188" s="446"/>
      <c r="V188" s="446"/>
      <c r="W188" s="446"/>
      <c r="X188" s="446"/>
      <c r="Y188" s="446"/>
      <c r="Z188" s="446"/>
      <c r="AA188" s="446"/>
      <c r="AB188" s="446"/>
      <c r="AC188" s="446"/>
      <c r="AD188" s="446"/>
      <c r="AE188" s="446"/>
      <c r="AF188" s="446"/>
      <c r="AG188" s="446"/>
      <c r="AH188" s="446"/>
      <c r="AI188" s="446"/>
      <c r="AJ188" s="446"/>
      <c r="AK188" s="446"/>
      <c r="AL188" s="446"/>
      <c r="AM188" s="446"/>
      <c r="AN188" s="446"/>
      <c r="AO188" s="446"/>
      <c r="AP188" s="446"/>
      <c r="AQ188" s="446"/>
      <c r="AR188" s="446"/>
      <c r="AS188" s="446"/>
      <c r="AT188" s="446"/>
      <c r="AU188" s="446"/>
      <c r="AV188" s="422" t="s">
        <v>300</v>
      </c>
      <c r="AW188" s="422"/>
      <c r="AX188" s="449"/>
      <c r="AY188" s="482"/>
      <c r="AZ188" s="449"/>
      <c r="BA188" s="449"/>
      <c r="BB188" s="449"/>
      <c r="BC188" s="483"/>
      <c r="BD188" s="483"/>
      <c r="BE188" s="483"/>
      <c r="BF188" s="483"/>
      <c r="BG188" s="483"/>
      <c r="BH188" s="449"/>
      <c r="BI188" s="484" t="s">
        <v>1859</v>
      </c>
      <c r="BJ188" s="429"/>
    </row>
    <row r="189" spans="1:62" s="485" customFormat="1" ht="43" customHeight="1">
      <c r="A189" s="486"/>
      <c r="B189" s="479" t="s">
        <v>1899</v>
      </c>
      <c r="C189" s="422" t="s">
        <v>48</v>
      </c>
      <c r="D189" s="447">
        <v>1.2</v>
      </c>
      <c r="E189" s="480"/>
      <c r="F189" s="447">
        <v>1.2</v>
      </c>
      <c r="G189" s="481"/>
      <c r="H189" s="420"/>
      <c r="I189" s="420"/>
      <c r="J189" s="420"/>
      <c r="K189" s="420"/>
      <c r="L189" s="420"/>
      <c r="M189" s="446"/>
      <c r="N189" s="446"/>
      <c r="O189" s="446"/>
      <c r="P189" s="446"/>
      <c r="Q189" s="446"/>
      <c r="R189" s="446"/>
      <c r="S189" s="446"/>
      <c r="T189" s="446"/>
      <c r="U189" s="446"/>
      <c r="V189" s="446"/>
      <c r="W189" s="446"/>
      <c r="X189" s="446"/>
      <c r="Y189" s="446"/>
      <c r="Z189" s="446"/>
      <c r="AA189" s="446"/>
      <c r="AB189" s="446"/>
      <c r="AC189" s="446"/>
      <c r="AD189" s="446"/>
      <c r="AE189" s="446"/>
      <c r="AF189" s="446"/>
      <c r="AG189" s="446"/>
      <c r="AH189" s="446"/>
      <c r="AI189" s="446"/>
      <c r="AJ189" s="446"/>
      <c r="AK189" s="446"/>
      <c r="AL189" s="446"/>
      <c r="AM189" s="446"/>
      <c r="AN189" s="446"/>
      <c r="AO189" s="446"/>
      <c r="AP189" s="446"/>
      <c r="AQ189" s="446"/>
      <c r="AR189" s="446"/>
      <c r="AS189" s="446"/>
      <c r="AT189" s="446"/>
      <c r="AU189" s="446"/>
      <c r="AV189" s="422" t="s">
        <v>300</v>
      </c>
      <c r="AW189" s="422"/>
      <c r="AX189" s="449"/>
      <c r="AY189" s="482"/>
      <c r="AZ189" s="449"/>
      <c r="BA189" s="449"/>
      <c r="BB189" s="449"/>
      <c r="BC189" s="483"/>
      <c r="BD189" s="483"/>
      <c r="BE189" s="483"/>
      <c r="BF189" s="483"/>
      <c r="BG189" s="483"/>
      <c r="BH189" s="449"/>
      <c r="BI189" s="484" t="s">
        <v>1859</v>
      </c>
      <c r="BJ189" s="429"/>
    </row>
    <row r="190" spans="1:62" s="485" customFormat="1" ht="43" customHeight="1">
      <c r="A190" s="486"/>
      <c r="B190" s="479" t="s">
        <v>1900</v>
      </c>
      <c r="C190" s="422" t="s">
        <v>48</v>
      </c>
      <c r="D190" s="447">
        <v>0.28000000000000003</v>
      </c>
      <c r="E190" s="480">
        <v>0.08</v>
      </c>
      <c r="F190" s="447" t="s">
        <v>1901</v>
      </c>
      <c r="G190" s="481"/>
      <c r="H190" s="420"/>
      <c r="I190" s="420"/>
      <c r="J190" s="420"/>
      <c r="K190" s="420"/>
      <c r="L190" s="420"/>
      <c r="M190" s="446">
        <v>0.2</v>
      </c>
      <c r="N190" s="446"/>
      <c r="O190" s="446"/>
      <c r="P190" s="446"/>
      <c r="Q190" s="446"/>
      <c r="R190" s="446"/>
      <c r="S190" s="446"/>
      <c r="T190" s="446"/>
      <c r="U190" s="446"/>
      <c r="V190" s="446"/>
      <c r="W190" s="446"/>
      <c r="X190" s="446"/>
      <c r="Y190" s="446"/>
      <c r="Z190" s="446"/>
      <c r="AA190" s="446"/>
      <c r="AB190" s="446"/>
      <c r="AC190" s="446"/>
      <c r="AD190" s="446"/>
      <c r="AE190" s="446"/>
      <c r="AF190" s="446"/>
      <c r="AG190" s="446"/>
      <c r="AH190" s="446"/>
      <c r="AI190" s="446"/>
      <c r="AJ190" s="446"/>
      <c r="AK190" s="446"/>
      <c r="AL190" s="446"/>
      <c r="AM190" s="446"/>
      <c r="AN190" s="446"/>
      <c r="AO190" s="446"/>
      <c r="AP190" s="446"/>
      <c r="AQ190" s="446"/>
      <c r="AR190" s="446"/>
      <c r="AS190" s="446"/>
      <c r="AT190" s="446"/>
      <c r="AU190" s="446"/>
      <c r="AV190" s="422" t="s">
        <v>295</v>
      </c>
      <c r="AW190" s="422" t="s">
        <v>1902</v>
      </c>
      <c r="AX190" s="449"/>
      <c r="AY190" s="482"/>
      <c r="AZ190" s="449"/>
      <c r="BA190" s="449"/>
      <c r="BB190" s="449"/>
      <c r="BC190" s="483"/>
      <c r="BD190" s="483"/>
      <c r="BE190" s="483"/>
      <c r="BF190" s="483"/>
      <c r="BG190" s="483"/>
      <c r="BH190" s="449"/>
      <c r="BI190" s="484" t="s">
        <v>1859</v>
      </c>
      <c r="BJ190" s="429"/>
    </row>
    <row r="191" spans="1:62" s="430" customFormat="1" ht="42" customHeight="1">
      <c r="A191" s="444"/>
      <c r="B191" s="445" t="s">
        <v>1903</v>
      </c>
      <c r="C191" s="422" t="s">
        <v>48</v>
      </c>
      <c r="D191" s="447">
        <v>0.48</v>
      </c>
      <c r="E191" s="447">
        <v>0.48</v>
      </c>
      <c r="F191" s="419"/>
      <c r="G191" s="421"/>
      <c r="H191" s="420"/>
      <c r="I191" s="420"/>
      <c r="J191" s="420"/>
      <c r="K191" s="420"/>
      <c r="L191" s="420"/>
      <c r="M191" s="419"/>
      <c r="N191" s="419"/>
      <c r="O191" s="419"/>
      <c r="P191" s="419"/>
      <c r="Q191" s="419"/>
      <c r="R191" s="419"/>
      <c r="S191" s="419"/>
      <c r="T191" s="419"/>
      <c r="U191" s="419"/>
      <c r="V191" s="419"/>
      <c r="W191" s="419"/>
      <c r="X191" s="419"/>
      <c r="Y191" s="419"/>
      <c r="Z191" s="419"/>
      <c r="AA191" s="419"/>
      <c r="AB191" s="419"/>
      <c r="AC191" s="419"/>
      <c r="AD191" s="419"/>
      <c r="AE191" s="419"/>
      <c r="AF191" s="419"/>
      <c r="AG191" s="419"/>
      <c r="AH191" s="419"/>
      <c r="AI191" s="419"/>
      <c r="AJ191" s="419"/>
      <c r="AK191" s="419"/>
      <c r="AL191" s="419"/>
      <c r="AM191" s="419"/>
      <c r="AN191" s="419"/>
      <c r="AO191" s="419"/>
      <c r="AP191" s="419"/>
      <c r="AQ191" s="419"/>
      <c r="AR191" s="419"/>
      <c r="AS191" s="419"/>
      <c r="AT191" s="419"/>
      <c r="AU191" s="419"/>
      <c r="AV191" s="422" t="s">
        <v>309</v>
      </c>
      <c r="AW191" s="422" t="s">
        <v>309</v>
      </c>
      <c r="AX191" s="447"/>
      <c r="AY191" s="408"/>
      <c r="AZ191" s="448"/>
      <c r="BA191" s="449"/>
      <c r="BB191" s="447"/>
      <c r="BC191" s="487"/>
      <c r="BD191" s="487"/>
      <c r="BE191" s="487"/>
      <c r="BF191" s="487"/>
      <c r="BG191" s="487"/>
      <c r="BH191" s="447"/>
      <c r="BI191" s="484" t="s">
        <v>1859</v>
      </c>
      <c r="BJ191" s="429"/>
    </row>
    <row r="192" spans="1:62" s="430" customFormat="1" ht="42" customHeight="1">
      <c r="A192" s="444"/>
      <c r="B192" s="445" t="s">
        <v>1904</v>
      </c>
      <c r="C192" s="422" t="s">
        <v>48</v>
      </c>
      <c r="D192" s="447">
        <v>0.3</v>
      </c>
      <c r="E192" s="447">
        <v>0.3</v>
      </c>
      <c r="F192" s="419"/>
      <c r="G192" s="421"/>
      <c r="H192" s="420"/>
      <c r="I192" s="420"/>
      <c r="J192" s="420"/>
      <c r="K192" s="420"/>
      <c r="L192" s="420"/>
      <c r="M192" s="419"/>
      <c r="N192" s="419"/>
      <c r="O192" s="419"/>
      <c r="P192" s="419"/>
      <c r="Q192" s="419"/>
      <c r="R192" s="419"/>
      <c r="S192" s="419"/>
      <c r="T192" s="419"/>
      <c r="U192" s="419"/>
      <c r="V192" s="419"/>
      <c r="W192" s="419"/>
      <c r="X192" s="419"/>
      <c r="Y192" s="419"/>
      <c r="Z192" s="419"/>
      <c r="AA192" s="419"/>
      <c r="AB192" s="419"/>
      <c r="AC192" s="419"/>
      <c r="AD192" s="419"/>
      <c r="AE192" s="419"/>
      <c r="AF192" s="419"/>
      <c r="AG192" s="419"/>
      <c r="AH192" s="419"/>
      <c r="AI192" s="419"/>
      <c r="AJ192" s="419"/>
      <c r="AK192" s="419"/>
      <c r="AL192" s="419"/>
      <c r="AM192" s="419"/>
      <c r="AN192" s="419"/>
      <c r="AO192" s="419"/>
      <c r="AP192" s="419"/>
      <c r="AQ192" s="419"/>
      <c r="AR192" s="419"/>
      <c r="AS192" s="419"/>
      <c r="AT192" s="419"/>
      <c r="AU192" s="419"/>
      <c r="AV192" s="422" t="s">
        <v>309</v>
      </c>
      <c r="AW192" s="422" t="s">
        <v>309</v>
      </c>
      <c r="AX192" s="447"/>
      <c r="AY192" s="408"/>
      <c r="AZ192" s="448"/>
      <c r="BA192" s="449"/>
      <c r="BB192" s="447"/>
      <c r="BC192" s="487"/>
      <c r="BD192" s="487"/>
      <c r="BE192" s="487"/>
      <c r="BF192" s="487"/>
      <c r="BG192" s="487"/>
      <c r="BH192" s="447"/>
      <c r="BI192" s="484" t="s">
        <v>1859</v>
      </c>
      <c r="BJ192" s="429"/>
    </row>
    <row r="193" spans="1:62" ht="25" customHeight="1">
      <c r="A193" s="488" t="s">
        <v>1723</v>
      </c>
      <c r="B193" s="489" t="s">
        <v>112</v>
      </c>
      <c r="C193" s="490"/>
      <c r="D193" s="359"/>
      <c r="E193" s="359"/>
      <c r="F193" s="491"/>
      <c r="G193" s="414"/>
      <c r="H193" s="413"/>
      <c r="I193" s="413"/>
      <c r="J193" s="413"/>
      <c r="K193" s="413" t="str">
        <f>IF(M193&lt;&gt;0,$M$5&amp;", ","")&amp;IF(N193&lt;&gt;0,$N$5&amp;", ","")&amp;IF(O193&lt;&gt;0,O$5&amp;", ","")&amp;IF(P193&lt;&gt;0,P$5&amp;", ","")&amp;IF(Q193&lt;&gt;0,Q$5&amp;", ","")&amp;IF(R193&lt;&gt;0,R$5&amp;", ","")&amp;IF(S193&lt;&gt;0,S$5&amp;", ","")&amp;IF(T193&lt;&gt;0,T$5&amp;", ","")&amp;IF(U193&lt;&gt;0,U$5&amp;", ","")&amp;IF(V193&lt;&gt;0,V$5&amp;", ","")&amp;IF(W193&lt;&gt;0,W$5&amp;", ","")&amp;IF(X193&lt;&gt;0,X$5&amp;", ","")&amp;IF(Y193&lt;&gt;0,Y$5&amp;", ","")&amp;IF(Z193&lt;&gt;0,Z$5&amp;", ","")&amp;IF(AA193&lt;&gt;0,AA$5&amp;", ","")&amp;IF(AB193&lt;&gt;0,AB$5&amp;", ","")&amp;IF(AC193&lt;&gt;0,AC$5&amp;", ","")&amp;IF(AD193&lt;&gt;0,AD$5&amp;", ","")&amp;IF(AE193&lt;&gt;0,AE$5&amp;", ","")&amp;IF(AF193&lt;&gt;0,AF$5&amp;", ","")&amp;IF(AG193&lt;&gt;0,AG$5&amp;", ","")&amp;IF(AH193&lt;&gt;0,AH$5&amp;", ","")&amp;IF(AI193&lt;&gt;0,AI$5&amp;", ","")&amp;IF(AJ193&lt;&gt;0,AJ$5&amp;", ","")&amp;IF(AK193&lt;&gt;0,AK$5&amp;", ","")&amp;IF(AL193&lt;&gt;0,AL$5&amp;", ","")&amp;IF(AM193&lt;&gt;0,AM$5&amp;", ","")&amp;IF(AN193&lt;&gt;0,AN$5&amp;", ","")&amp;IF(AO193&lt;&gt;0,AO$5&amp;", ","")&amp;IF(AP193&lt;&gt;0,AP$5&amp;", ","")&amp;IF(AQ193&lt;&gt;0,AQ$5&amp;", ","")&amp;IF(AR193&lt;&gt;0,AR$5,"")&amp;IF(AS193&lt;&gt;0,AS$5,"")&amp;IF(AT193&lt;&gt;0,AT$5,"")&amp;IF(AU193&lt;&gt;0,AU$5,"")</f>
        <v/>
      </c>
      <c r="L193" s="413" t="str">
        <f t="shared" si="24"/>
        <v/>
      </c>
      <c r="M193" s="361"/>
      <c r="N193" s="361"/>
      <c r="O193" s="361"/>
      <c r="P193" s="361"/>
      <c r="Q193" s="361"/>
      <c r="R193" s="361"/>
      <c r="S193" s="361"/>
      <c r="T193" s="361"/>
      <c r="U193" s="361"/>
      <c r="V193" s="361"/>
      <c r="W193" s="361"/>
      <c r="X193" s="361"/>
      <c r="Y193" s="361"/>
      <c r="Z193" s="361"/>
      <c r="AA193" s="361"/>
      <c r="AB193" s="361"/>
      <c r="AC193" s="361"/>
      <c r="AD193" s="361"/>
      <c r="AE193" s="361"/>
      <c r="AF193" s="361"/>
      <c r="AG193" s="361"/>
      <c r="AH193" s="361"/>
      <c r="AI193" s="361"/>
      <c r="AJ193" s="361"/>
      <c r="AK193" s="361"/>
      <c r="AL193" s="361"/>
      <c r="AM193" s="361"/>
      <c r="AN193" s="361"/>
      <c r="AO193" s="361"/>
      <c r="AP193" s="361"/>
      <c r="AQ193" s="361"/>
      <c r="AR193" s="361"/>
      <c r="AS193" s="361"/>
      <c r="AT193" s="361"/>
      <c r="AU193" s="361"/>
      <c r="AV193" s="351"/>
      <c r="AW193" s="351"/>
      <c r="AX193" s="351"/>
      <c r="AY193" s="260"/>
      <c r="AZ193" s="181"/>
      <c r="BA193" s="351"/>
      <c r="BB193" s="351"/>
      <c r="BC193" s="156"/>
      <c r="BD193" s="156"/>
      <c r="BE193" s="156"/>
      <c r="BF193" s="156"/>
      <c r="BG193" s="156"/>
      <c r="BH193" s="351"/>
    </row>
    <row r="194" spans="1:62" s="179" customFormat="1" ht="24.65" customHeight="1">
      <c r="A194" s="145"/>
      <c r="B194" s="163" t="s">
        <v>1757</v>
      </c>
      <c r="C194" s="164"/>
      <c r="D194" s="368"/>
      <c r="E194" s="368"/>
      <c r="F194" s="368"/>
      <c r="G194" s="410"/>
      <c r="H194" s="411"/>
      <c r="I194" s="411"/>
      <c r="J194" s="411"/>
      <c r="K194" s="411"/>
      <c r="L194" s="411"/>
      <c r="M194" s="368"/>
      <c r="N194" s="368"/>
      <c r="O194" s="368"/>
      <c r="P194" s="368"/>
      <c r="Q194" s="368"/>
      <c r="R194" s="368"/>
      <c r="S194" s="368"/>
      <c r="T194" s="368"/>
      <c r="U194" s="368"/>
      <c r="V194" s="368"/>
      <c r="W194" s="368"/>
      <c r="X194" s="368"/>
      <c r="Y194" s="368"/>
      <c r="Z194" s="368"/>
      <c r="AA194" s="368"/>
      <c r="AB194" s="368"/>
      <c r="AC194" s="368"/>
      <c r="AD194" s="368"/>
      <c r="AE194" s="368"/>
      <c r="AF194" s="368"/>
      <c r="AG194" s="368"/>
      <c r="AH194" s="368"/>
      <c r="AI194" s="368"/>
      <c r="AJ194" s="368"/>
      <c r="AK194" s="368"/>
      <c r="AL194" s="368"/>
      <c r="AM194" s="368"/>
      <c r="AN194" s="368"/>
      <c r="AO194" s="368"/>
      <c r="AP194" s="368"/>
      <c r="AQ194" s="368"/>
      <c r="AR194" s="368"/>
      <c r="AS194" s="368"/>
      <c r="AT194" s="368"/>
      <c r="AU194" s="368"/>
      <c r="AV194" s="368"/>
      <c r="AW194" s="368"/>
      <c r="AX194" s="368"/>
      <c r="AY194" s="257"/>
      <c r="AZ194" s="178"/>
      <c r="BA194" s="368"/>
      <c r="BB194" s="368"/>
      <c r="BC194" s="165"/>
      <c r="BD194" s="165"/>
      <c r="BE194" s="165"/>
      <c r="BF194" s="165"/>
      <c r="BG194" s="165"/>
      <c r="BH194" s="368"/>
      <c r="BI194" s="412"/>
      <c r="BJ194" s="412"/>
    </row>
    <row r="195" spans="1:62" ht="49.5" customHeight="1">
      <c r="A195" s="348">
        <f>SUBTOTAL(3,C$11:$C195)</f>
        <v>138</v>
      </c>
      <c r="B195" s="337" t="s">
        <v>572</v>
      </c>
      <c r="C195" s="338" t="s">
        <v>49</v>
      </c>
      <c r="D195" s="339">
        <v>0.42770000000000002</v>
      </c>
      <c r="E195" s="339"/>
      <c r="F195" s="339">
        <v>0.42770000000000002</v>
      </c>
      <c r="G195" s="414">
        <f>SUM(M195:AR195)</f>
        <v>0.43000000000000005</v>
      </c>
      <c r="H195" s="413" t="s">
        <v>1295</v>
      </c>
      <c r="I195" s="413" t="s">
        <v>1296</v>
      </c>
      <c r="J195" s="413"/>
      <c r="K195" s="413" t="str">
        <f>IF(M195&lt;&gt;0,$M$5&amp;", ","")&amp;IF(N195&lt;&gt;0,$N$5&amp;", ","")&amp;IF(O195&lt;&gt;0,O$5&amp;", ","")&amp;IF(P195&lt;&gt;0,P$5&amp;", ","")&amp;IF(Q195&lt;&gt;0,Q$5&amp;", ","")&amp;IF(R195&lt;&gt;0,R$5&amp;", ","")&amp;IF(S195&lt;&gt;0,S$5&amp;", ","")&amp;IF(T195&lt;&gt;0,T$5&amp;", ","")&amp;IF(U195&lt;&gt;0,U$5&amp;", ","")&amp;IF(V195&lt;&gt;0,V$5&amp;", ","")&amp;IF(W195&lt;&gt;0,W$5&amp;", ","")&amp;IF(X195&lt;&gt;0,X$5&amp;", ","")&amp;IF(Y195&lt;&gt;0,Y$5&amp;", ","")&amp;IF(Z195&lt;&gt;0,Z$5&amp;", ","")&amp;IF(AA195&lt;&gt;0,AA$5&amp;", ","")&amp;IF(AB195&lt;&gt;0,AB$5&amp;", ","")&amp;IF(AC195&lt;&gt;0,AC$5&amp;", ","")&amp;IF(AD195&lt;&gt;0,AD$5&amp;", ","")&amp;IF(AE195&lt;&gt;0,AE$5&amp;", ","")&amp;IF(AF195&lt;&gt;0,AF$5&amp;", ","")&amp;IF(AG195&lt;&gt;0,AG$5&amp;", ","")&amp;IF(AH195&lt;&gt;0,AH$5&amp;", ","")&amp;IF(AI195&lt;&gt;0,AI$5&amp;", ","")&amp;IF(AJ195&lt;&gt;0,AJ$5&amp;", ","")&amp;IF(AK195&lt;&gt;0,AK$5&amp;", ","")&amp;IF(AL195&lt;&gt;0,AL$5&amp;", ","")&amp;IF(AM195&lt;&gt;0,AM$5&amp;", ","")&amp;IF(AN195&lt;&gt;0,AN$5&amp;", ","")&amp;IF(AO195&lt;&gt;0,AO$5&amp;", ","")&amp;IF(AP195&lt;&gt;0,AP$5&amp;", ","")&amp;IF(AQ195&lt;&gt;0,AQ$5&amp;", ","")&amp;IF(AR195&lt;&gt;0,AR$5,"")&amp;IF(AS195&lt;&gt;0,AS$5,"")&amp;IF(AT195&lt;&gt;0,AT$5,"")&amp;IF(AU195&lt;&gt;0,AU$5,"")</f>
        <v xml:space="preserve">LUC, DGD, </v>
      </c>
      <c r="L195" s="413" t="str">
        <f>IF(M195="","",$M$5&amp;":"&amp;M195&amp;";")&amp;IF(N195="","",$N$5&amp;":"&amp;N195&amp;";")&amp;IF(O195="","",$O$5&amp;":"&amp;O195&amp;";")&amp;IF(P195="","",$P$5&amp;":"&amp;P195&amp;";")&amp;IF(Q195="","",$Q$5&amp;":"&amp;Q195&amp;";")&amp;IF(R195="","",$R$5&amp;":"&amp;R195&amp;";")&amp;IF(S195="","",$S$5&amp;":"&amp;S195&amp;";")&amp;IF(T195="","",$T$5&amp;":"&amp;T195&amp;";")&amp;IF(U195="","",$U$5&amp;":"&amp;U195&amp;";")&amp;IF(V195="","",$V$5&amp;":"&amp;V195&amp;";")&amp;IF(W195="","",$W$5&amp;":"&amp;W195&amp;";")&amp;IF(X195="","",$X$5&amp;":"&amp;X195&amp;";")&amp;IF(Y195="","",$Y$5&amp;":"&amp;Y195&amp;";")&amp;IF(Z195="","",$Z$5&amp;":"&amp;Z195&amp;";")&amp;IF(AA195="","",$AA$5&amp;":"&amp;AA195&amp;";")&amp;IF(AB195="","",$AB$5&amp;":"&amp;AB195&amp;";")&amp;IF(AC195="","",$AC$5&amp;":"&amp;AC195&amp;";")&amp;IF(AD195="","",$AD$5&amp;":"&amp;AD195&amp;";")&amp;IF(AE195="","",$AE$5&amp;":"&amp;AE195&amp;";")&amp;IF(AF195="","",$AF$5&amp;":"&amp;AF195&amp;";")&amp;IF(AG195="","",$AG$5&amp;":"&amp;AG195&amp;";")&amp;IF(AH195="","",$AH$5&amp;":"&amp;AH195&amp;";")&amp;IF(AI195="","",$AI$5&amp;":"&amp;AI195&amp;";")&amp;IF(AJ195="","",$AJ$5&amp;":"&amp;AJ195&amp;";")&amp;IF(AK195="","",$AK$5&amp;":"&amp;AK195&amp;";")&amp;IF(AL195="","",$AL$5&amp;":"&amp;AL195&amp;";")&amp;IF(AM195="","",$AM$5&amp;":"&amp;AM195&amp;";")&amp;IF(AN195="","",$AN$5&amp;":"&amp;AN195&amp;";")&amp;IF(AO195="","",$AO$5&amp;":"&amp;AO195&amp;";")&amp;IF(AP195="","",$AP$5&amp;":"&amp;AP195&amp;";")&amp;IF(AQ195="","",$AQ$5&amp;":"&amp;AQ195&amp;";")&amp;IF(AR195="","",$AR$5&amp;":"&amp;AR195&amp;";")&amp;IF(AS195="","",$AS$5&amp;":"&amp;AS195&amp;";")&amp;IF(AT195="","",$AT$5&amp;":"&amp;AT195&amp;";")&amp;IF(AU195="","",$AU$5&amp;":"&amp;AU195&amp;";")</f>
        <v>LUC:0,26;DGD:0,17;</v>
      </c>
      <c r="M195" s="339">
        <v>0.26</v>
      </c>
      <c r="N195" s="339"/>
      <c r="O195" s="339"/>
      <c r="P195" s="339"/>
      <c r="Q195" s="339"/>
      <c r="R195" s="339"/>
      <c r="S195" s="339"/>
      <c r="T195" s="339"/>
      <c r="U195" s="339"/>
      <c r="V195" s="339"/>
      <c r="W195" s="339"/>
      <c r="X195" s="339"/>
      <c r="Y195" s="339"/>
      <c r="Z195" s="339"/>
      <c r="AA195" s="339">
        <v>0.17</v>
      </c>
      <c r="AB195" s="339"/>
      <c r="AC195" s="339"/>
      <c r="AD195" s="339"/>
      <c r="AE195" s="339"/>
      <c r="AF195" s="339"/>
      <c r="AG195" s="339"/>
      <c r="AH195" s="339"/>
      <c r="AI195" s="339"/>
      <c r="AJ195" s="339"/>
      <c r="AK195" s="339"/>
      <c r="AL195" s="339"/>
      <c r="AM195" s="339"/>
      <c r="AN195" s="339"/>
      <c r="AO195" s="339"/>
      <c r="AP195" s="339"/>
      <c r="AQ195" s="339"/>
      <c r="AR195" s="339"/>
      <c r="AS195" s="339"/>
      <c r="AT195" s="339"/>
      <c r="AU195" s="339"/>
      <c r="AV195" s="338" t="s">
        <v>300</v>
      </c>
      <c r="AW195" s="338" t="s">
        <v>300</v>
      </c>
      <c r="AX195" s="350" t="s">
        <v>573</v>
      </c>
      <c r="AY195" s="356" t="s">
        <v>573</v>
      </c>
      <c r="AZ195" s="352" t="s">
        <v>1297</v>
      </c>
      <c r="BA195" s="350"/>
      <c r="BB195" s="350"/>
      <c r="BC195" s="195" t="s">
        <v>270</v>
      </c>
      <c r="BD195" s="195"/>
      <c r="BE195" s="195"/>
      <c r="BF195" s="195" t="s">
        <v>263</v>
      </c>
      <c r="BG195" s="195"/>
      <c r="BH195" s="350"/>
    </row>
    <row r="196" spans="1:62" ht="49.5" customHeight="1">
      <c r="A196" s="348">
        <f>SUBTOTAL(3,C$11:$C196)</f>
        <v>139</v>
      </c>
      <c r="B196" s="337" t="s">
        <v>568</v>
      </c>
      <c r="C196" s="338" t="s">
        <v>49</v>
      </c>
      <c r="D196" s="339">
        <v>0.6</v>
      </c>
      <c r="E196" s="339">
        <v>0.6</v>
      </c>
      <c r="F196" s="339"/>
      <c r="G196" s="414">
        <f>SUM(M196:AR196)</f>
        <v>0.6</v>
      </c>
      <c r="H196" s="413" t="s">
        <v>49</v>
      </c>
      <c r="I196" s="413" t="s">
        <v>49</v>
      </c>
      <c r="J196" s="413"/>
      <c r="K196" s="413" t="str">
        <f>IF(M196&lt;&gt;0,$M$5&amp;", ","")&amp;IF(N196&lt;&gt;0,$N$5&amp;", ","")&amp;IF(O196&lt;&gt;0,O$5&amp;", ","")&amp;IF(P196&lt;&gt;0,P$5&amp;", ","")&amp;IF(Q196&lt;&gt;0,Q$5&amp;", ","")&amp;IF(R196&lt;&gt;0,R$5&amp;", ","")&amp;IF(S196&lt;&gt;0,S$5&amp;", ","")&amp;IF(T196&lt;&gt;0,T$5&amp;", ","")&amp;IF(U196&lt;&gt;0,U$5&amp;", ","")&amp;IF(V196&lt;&gt;0,V$5&amp;", ","")&amp;IF(W196&lt;&gt;0,W$5&amp;", ","")&amp;IF(X196&lt;&gt;0,X$5&amp;", ","")&amp;IF(Y196&lt;&gt;0,Y$5&amp;", ","")&amp;IF(Z196&lt;&gt;0,Z$5&amp;", ","")&amp;IF(AA196&lt;&gt;0,AA$5&amp;", ","")&amp;IF(AB196&lt;&gt;0,AB$5&amp;", ","")&amp;IF(AC196&lt;&gt;0,AC$5&amp;", ","")&amp;IF(AD196&lt;&gt;0,AD$5&amp;", ","")&amp;IF(AE196&lt;&gt;0,AE$5&amp;", ","")&amp;IF(AF196&lt;&gt;0,AF$5&amp;", ","")&amp;IF(AG196&lt;&gt;0,AG$5&amp;", ","")&amp;IF(AH196&lt;&gt;0,AH$5&amp;", ","")&amp;IF(AI196&lt;&gt;0,AI$5&amp;", ","")&amp;IF(AJ196&lt;&gt;0,AJ$5&amp;", ","")&amp;IF(AK196&lt;&gt;0,AK$5&amp;", ","")&amp;IF(AL196&lt;&gt;0,AL$5&amp;", ","")&amp;IF(AM196&lt;&gt;0,AM$5&amp;", ","")&amp;IF(AN196&lt;&gt;0,AN$5&amp;", ","")&amp;IF(AO196&lt;&gt;0,AO$5&amp;", ","")&amp;IF(AP196&lt;&gt;0,AP$5&amp;", ","")&amp;IF(AQ196&lt;&gt;0,AQ$5&amp;", ","")&amp;IF(AR196&lt;&gt;0,AR$5,"")&amp;IF(AS196&lt;&gt;0,AS$5,"")&amp;IF(AT196&lt;&gt;0,AT$5,"")&amp;IF(AU196&lt;&gt;0,AU$5,"")</f>
        <v xml:space="preserve">DTT, </v>
      </c>
      <c r="L196" s="413" t="str">
        <f>IF(M196="","",$M$5&amp;":"&amp;M196&amp;";")&amp;IF(N196="","",$N$5&amp;":"&amp;N196&amp;";")&amp;IF(O196="","",$O$5&amp;":"&amp;O196&amp;";")&amp;IF(P196="","",$P$5&amp;":"&amp;P196&amp;";")&amp;IF(Q196="","",$Q$5&amp;":"&amp;Q196&amp;";")&amp;IF(R196="","",$R$5&amp;":"&amp;R196&amp;";")&amp;IF(S196="","",$S$5&amp;":"&amp;S196&amp;";")&amp;IF(T196="","",$T$5&amp;":"&amp;T196&amp;";")&amp;IF(U196="","",$U$5&amp;":"&amp;U196&amp;";")&amp;IF(V196="","",$V$5&amp;":"&amp;V196&amp;";")&amp;IF(W196="","",$W$5&amp;":"&amp;W196&amp;";")&amp;IF(X196="","",$X$5&amp;":"&amp;X196&amp;";")&amp;IF(Y196="","",$Y$5&amp;":"&amp;Y196&amp;";")&amp;IF(Z196="","",$Z$5&amp;":"&amp;Z196&amp;";")&amp;IF(AA196="","",$AA$5&amp;":"&amp;AA196&amp;";")&amp;IF(AB196="","",$AB$5&amp;":"&amp;AB196&amp;";")&amp;IF(AC196="","",$AC$5&amp;":"&amp;AC196&amp;";")&amp;IF(AD196="","",$AD$5&amp;":"&amp;AD196&amp;";")&amp;IF(AE196="","",$AE$5&amp;":"&amp;AE196&amp;";")&amp;IF(AF196="","",$AF$5&amp;":"&amp;AF196&amp;";")&amp;IF(AG196="","",$AG$5&amp;":"&amp;AG196&amp;";")&amp;IF(AH196="","",$AH$5&amp;":"&amp;AH196&amp;";")&amp;IF(AI196="","",$AI$5&amp;":"&amp;AI196&amp;";")&amp;IF(AJ196="","",$AJ$5&amp;":"&amp;AJ196&amp;";")&amp;IF(AK196="","",$AK$5&amp;":"&amp;AK196&amp;";")&amp;IF(AL196="","",$AL$5&amp;":"&amp;AL196&amp;";")&amp;IF(AM196="","",$AM$5&amp;":"&amp;AM196&amp;";")&amp;IF(AN196="","",$AN$5&amp;":"&amp;AN196&amp;";")&amp;IF(AO196="","",$AO$5&amp;":"&amp;AO196&amp;";")&amp;IF(AP196="","",$AP$5&amp;":"&amp;AP196&amp;";")&amp;IF(AQ196="","",$AQ$5&amp;":"&amp;AQ196&amp;";")&amp;IF(AR196="","",$AR$5&amp;":"&amp;AR196&amp;";")&amp;IF(AS196="","",$AS$5&amp;":"&amp;AS196&amp;";")&amp;IF(AT196="","",$AT$5&amp;":"&amp;AT196&amp;";")&amp;IF(AU196="","",$AU$5&amp;":"&amp;AU196&amp;";")</f>
        <v>DTT:0,6;</v>
      </c>
      <c r="M196" s="339"/>
      <c r="N196" s="339"/>
      <c r="O196" s="339"/>
      <c r="P196" s="339"/>
      <c r="Q196" s="339"/>
      <c r="R196" s="339"/>
      <c r="S196" s="339"/>
      <c r="T196" s="339"/>
      <c r="U196" s="339"/>
      <c r="V196" s="339"/>
      <c r="W196" s="339"/>
      <c r="X196" s="339"/>
      <c r="Y196" s="339"/>
      <c r="Z196" s="339"/>
      <c r="AA196" s="339"/>
      <c r="AB196" s="339">
        <v>0.6</v>
      </c>
      <c r="AC196" s="339"/>
      <c r="AD196" s="339"/>
      <c r="AE196" s="339"/>
      <c r="AF196" s="339"/>
      <c r="AG196" s="339"/>
      <c r="AH196" s="339"/>
      <c r="AI196" s="339"/>
      <c r="AJ196" s="339"/>
      <c r="AK196" s="339"/>
      <c r="AL196" s="339"/>
      <c r="AM196" s="339"/>
      <c r="AN196" s="339"/>
      <c r="AO196" s="339"/>
      <c r="AP196" s="339"/>
      <c r="AQ196" s="339"/>
      <c r="AR196" s="339"/>
      <c r="AS196" s="339"/>
      <c r="AT196" s="339"/>
      <c r="AU196" s="339"/>
      <c r="AV196" s="338" t="s">
        <v>217</v>
      </c>
      <c r="AW196" s="338" t="s">
        <v>217</v>
      </c>
      <c r="AX196" s="350" t="s">
        <v>569</v>
      </c>
      <c r="AY196" s="356" t="s">
        <v>569</v>
      </c>
      <c r="AZ196" s="352"/>
      <c r="BA196" s="350"/>
      <c r="BB196" s="350"/>
      <c r="BC196" s="195" t="s">
        <v>270</v>
      </c>
      <c r="BD196" s="195"/>
      <c r="BE196" s="195"/>
      <c r="BF196" s="195" t="s">
        <v>263</v>
      </c>
      <c r="BG196" s="195"/>
      <c r="BH196" s="350"/>
    </row>
    <row r="197" spans="1:62" ht="84" customHeight="1">
      <c r="A197" s="348">
        <f>SUBTOTAL(3,C$11:$C197)</f>
        <v>140</v>
      </c>
      <c r="B197" s="337" t="s">
        <v>570</v>
      </c>
      <c r="C197" s="338" t="s">
        <v>49</v>
      </c>
      <c r="D197" s="339">
        <v>2.2000000000000002</v>
      </c>
      <c r="E197" s="339"/>
      <c r="F197" s="339">
        <v>2.2000000000000002</v>
      </c>
      <c r="G197" s="414">
        <f>SUM(M197:AR197)</f>
        <v>2.1999999999999993</v>
      </c>
      <c r="H197" s="413" t="s">
        <v>1292</v>
      </c>
      <c r="I197" s="413" t="s">
        <v>1293</v>
      </c>
      <c r="J197" s="413"/>
      <c r="K197" s="413" t="str">
        <f>IF(M197&lt;&gt;0,$M$5&amp;", ","")&amp;IF(N197&lt;&gt;0,$N$5&amp;", ","")&amp;IF(O197&lt;&gt;0,O$5&amp;", ","")&amp;IF(P197&lt;&gt;0,P$5&amp;", ","")&amp;IF(Q197&lt;&gt;0,Q$5&amp;", ","")&amp;IF(R197&lt;&gt;0,R$5&amp;", ","")&amp;IF(S197&lt;&gt;0,S$5&amp;", ","")&amp;IF(T197&lt;&gt;0,T$5&amp;", ","")&amp;IF(U197&lt;&gt;0,U$5&amp;", ","")&amp;IF(V197&lt;&gt;0,V$5&amp;", ","")&amp;IF(W197&lt;&gt;0,W$5&amp;", ","")&amp;IF(X197&lt;&gt;0,X$5&amp;", ","")&amp;IF(Y197&lt;&gt;0,Y$5&amp;", ","")&amp;IF(Z197&lt;&gt;0,Z$5&amp;", ","")&amp;IF(AA197&lt;&gt;0,AA$5&amp;", ","")&amp;IF(AB197&lt;&gt;0,AB$5&amp;", ","")&amp;IF(AC197&lt;&gt;0,AC$5&amp;", ","")&amp;IF(AD197&lt;&gt;0,AD$5&amp;", ","")&amp;IF(AE197&lt;&gt;0,AE$5&amp;", ","")&amp;IF(AF197&lt;&gt;0,AF$5&amp;", ","")&amp;IF(AG197&lt;&gt;0,AG$5&amp;", ","")&amp;IF(AH197&lt;&gt;0,AH$5&amp;", ","")&amp;IF(AI197&lt;&gt;0,AI$5&amp;", ","")&amp;IF(AJ197&lt;&gt;0,AJ$5&amp;", ","")&amp;IF(AK197&lt;&gt;0,AK$5&amp;", ","")&amp;IF(AL197&lt;&gt;0,AL$5&amp;", ","")&amp;IF(AM197&lt;&gt;0,AM$5&amp;", ","")&amp;IF(AN197&lt;&gt;0,AN$5&amp;", ","")&amp;IF(AO197&lt;&gt;0,AO$5&amp;", ","")&amp;IF(AP197&lt;&gt;0,AP$5&amp;", ","")&amp;IF(AQ197&lt;&gt;0,AQ$5&amp;", ","")&amp;IF(AR197&lt;&gt;0,AR$5,"")&amp;IF(AS197&lt;&gt;0,AS$5,"")&amp;IF(AT197&lt;&gt;0,AT$5,"")&amp;IF(AU197&lt;&gt;0,AU$5,"")</f>
        <v xml:space="preserve">LUC, HNK, DGT, ONT, SON, </v>
      </c>
      <c r="L197" s="413" t="str">
        <f>IF(M197="","",$M$5&amp;":"&amp;M197&amp;";")&amp;IF(N197="","",$N$5&amp;":"&amp;N197&amp;";")&amp;IF(O197="","",$O$5&amp;":"&amp;O197&amp;";")&amp;IF(P197="","",$P$5&amp;":"&amp;P197&amp;";")&amp;IF(Q197="","",$Q$5&amp;":"&amp;Q197&amp;";")&amp;IF(R197="","",$R$5&amp;":"&amp;R197&amp;";")&amp;IF(S197="","",$S$5&amp;":"&amp;S197&amp;";")&amp;IF(T197="","",$T$5&amp;":"&amp;T197&amp;";")&amp;IF(U197="","",$U$5&amp;":"&amp;U197&amp;";")&amp;IF(V197="","",$V$5&amp;":"&amp;V197&amp;";")&amp;IF(W197="","",$W$5&amp;":"&amp;W197&amp;";")&amp;IF(X197="","",$X$5&amp;":"&amp;X197&amp;";")&amp;IF(Y197="","",$Y$5&amp;":"&amp;Y197&amp;";")&amp;IF(Z197="","",$Z$5&amp;":"&amp;Z197&amp;";")&amp;IF(AA197="","",$AA$5&amp;":"&amp;AA197&amp;";")&amp;IF(AB197="","",$AB$5&amp;":"&amp;AB197&amp;";")&amp;IF(AC197="","",$AC$5&amp;":"&amp;AC197&amp;";")&amp;IF(AD197="","",$AD$5&amp;":"&amp;AD197&amp;";")&amp;IF(AE197="","",$AE$5&amp;":"&amp;AE197&amp;";")&amp;IF(AF197="","",$AF$5&amp;":"&amp;AF197&amp;";")&amp;IF(AG197="","",$AG$5&amp;":"&amp;AG197&amp;";")&amp;IF(AH197="","",$AH$5&amp;":"&amp;AH197&amp;";")&amp;IF(AI197="","",$AI$5&amp;":"&amp;AI197&amp;";")&amp;IF(AJ197="","",$AJ$5&amp;":"&amp;AJ197&amp;";")&amp;IF(AK197="","",$AK$5&amp;":"&amp;AK197&amp;";")&amp;IF(AL197="","",$AL$5&amp;":"&amp;AL197&amp;";")&amp;IF(AM197="","",$AM$5&amp;":"&amp;AM197&amp;";")&amp;IF(AN197="","",$AN$5&amp;":"&amp;AN197&amp;";")&amp;IF(AO197="","",$AO$5&amp;":"&amp;AO197&amp;";")&amp;IF(AP197="","",$AP$5&amp;":"&amp;AP197&amp;";")&amp;IF(AQ197="","",$AQ$5&amp;":"&amp;AQ197&amp;";")&amp;IF(AR197="","",$AR$5&amp;":"&amp;AR197&amp;";")&amp;IF(AS197="","",$AS$5&amp;":"&amp;AS197&amp;";")&amp;IF(AT197="","",$AT$5&amp;":"&amp;AT197&amp;";")&amp;IF(AU197="","",$AU$5&amp;":"&amp;AU197&amp;";")</f>
        <v>LUC:1,77;HNK:0,34;DGT:0,01;ONT:0,03;SON:0,05;</v>
      </c>
      <c r="M197" s="339">
        <v>1.77</v>
      </c>
      <c r="N197" s="339"/>
      <c r="O197" s="339">
        <v>0.34</v>
      </c>
      <c r="P197" s="339"/>
      <c r="Q197" s="339"/>
      <c r="R197" s="339"/>
      <c r="S197" s="339"/>
      <c r="T197" s="339"/>
      <c r="U197" s="339"/>
      <c r="V197" s="339"/>
      <c r="W197" s="339">
        <v>0.01</v>
      </c>
      <c r="X197" s="339"/>
      <c r="Y197" s="339"/>
      <c r="Z197" s="339"/>
      <c r="AA197" s="339"/>
      <c r="AB197" s="339"/>
      <c r="AC197" s="339"/>
      <c r="AD197" s="339"/>
      <c r="AE197" s="339"/>
      <c r="AF197" s="339"/>
      <c r="AG197" s="339"/>
      <c r="AH197" s="339"/>
      <c r="AI197" s="339"/>
      <c r="AJ197" s="339"/>
      <c r="AK197" s="339"/>
      <c r="AL197" s="339">
        <v>0.03</v>
      </c>
      <c r="AM197" s="339"/>
      <c r="AN197" s="339"/>
      <c r="AO197" s="339"/>
      <c r="AP197" s="339"/>
      <c r="AQ197" s="339">
        <v>0.05</v>
      </c>
      <c r="AR197" s="339"/>
      <c r="AS197" s="339"/>
      <c r="AT197" s="339"/>
      <c r="AU197" s="339"/>
      <c r="AV197" s="338" t="s">
        <v>280</v>
      </c>
      <c r="AW197" s="338" t="s">
        <v>280</v>
      </c>
      <c r="AX197" s="350" t="s">
        <v>571</v>
      </c>
      <c r="AY197" s="356" t="s">
        <v>571</v>
      </c>
      <c r="AZ197" s="352" t="s">
        <v>1294</v>
      </c>
      <c r="BA197" s="350"/>
      <c r="BB197" s="350"/>
      <c r="BC197" s="195" t="s">
        <v>270</v>
      </c>
      <c r="BD197" s="195"/>
      <c r="BE197" s="195"/>
      <c r="BF197" s="195" t="s">
        <v>263</v>
      </c>
      <c r="BG197" s="195"/>
      <c r="BH197" s="350"/>
    </row>
    <row r="198" spans="1:62" ht="25" customHeight="1">
      <c r="A198" s="255" t="s">
        <v>1724</v>
      </c>
      <c r="B198" s="159" t="s">
        <v>115</v>
      </c>
      <c r="C198" s="158"/>
      <c r="D198" s="351"/>
      <c r="E198" s="351"/>
      <c r="F198" s="361"/>
      <c r="G198" s="414"/>
      <c r="H198" s="413"/>
      <c r="I198" s="413"/>
      <c r="J198" s="413"/>
      <c r="K198" s="413" t="str">
        <f>IF(M198&lt;&gt;0,$M$5&amp;", ","")&amp;IF(N198&lt;&gt;0,$N$5&amp;", ","")&amp;IF(O198&lt;&gt;0,O$5&amp;", ","")&amp;IF(P198&lt;&gt;0,P$5&amp;", ","")&amp;IF(Q198&lt;&gt;0,Q$5&amp;", ","")&amp;IF(R198&lt;&gt;0,R$5&amp;", ","")&amp;IF(S198&lt;&gt;0,S$5&amp;", ","")&amp;IF(T198&lt;&gt;0,T$5&amp;", ","")&amp;IF(U198&lt;&gt;0,U$5&amp;", ","")&amp;IF(V198&lt;&gt;0,V$5&amp;", ","")&amp;IF(W198&lt;&gt;0,W$5&amp;", ","")&amp;IF(X198&lt;&gt;0,X$5&amp;", ","")&amp;IF(Y198&lt;&gt;0,Y$5&amp;", ","")&amp;IF(Z198&lt;&gt;0,Z$5&amp;", ","")&amp;IF(AA198&lt;&gt;0,AA$5&amp;", ","")&amp;IF(AB198&lt;&gt;0,AB$5&amp;", ","")&amp;IF(AC198&lt;&gt;0,AC$5&amp;", ","")&amp;IF(AD198&lt;&gt;0,AD$5&amp;", ","")&amp;IF(AE198&lt;&gt;0,AE$5&amp;", ","")&amp;IF(AF198&lt;&gt;0,AF$5&amp;", ","")&amp;IF(AG198&lt;&gt;0,AG$5&amp;", ","")&amp;IF(AH198&lt;&gt;0,AH$5&amp;", ","")&amp;IF(AI198&lt;&gt;0,AI$5&amp;", ","")&amp;IF(AJ198&lt;&gt;0,AJ$5&amp;", ","")&amp;IF(AK198&lt;&gt;0,AK$5&amp;", ","")&amp;IF(AL198&lt;&gt;0,AL$5&amp;", ","")&amp;IF(AM198&lt;&gt;0,AM$5&amp;", ","")&amp;IF(AN198&lt;&gt;0,AN$5&amp;", ","")&amp;IF(AO198&lt;&gt;0,AO$5&amp;", ","")&amp;IF(AP198&lt;&gt;0,AP$5&amp;", ","")&amp;IF(AQ198&lt;&gt;0,AQ$5&amp;", ","")&amp;IF(AR198&lt;&gt;0,AR$5,"")&amp;IF(AS198&lt;&gt;0,AS$5,"")&amp;IF(AT198&lt;&gt;0,AT$5,"")&amp;IF(AU198&lt;&gt;0,AU$5,"")</f>
        <v/>
      </c>
      <c r="L198" s="413" t="str">
        <f>IF(M198="","",$M$5&amp;":"&amp;M198&amp;";")&amp;IF(N198="","",$N$5&amp;":"&amp;N198&amp;";")&amp;IF(O198="","",$O$5&amp;":"&amp;O198&amp;";")&amp;IF(P198="","",$P$5&amp;":"&amp;P198&amp;";")&amp;IF(Q198="","",$Q$5&amp;":"&amp;Q198&amp;";")&amp;IF(R198="","",$R$5&amp;":"&amp;R198&amp;";")&amp;IF(S198="","",$S$5&amp;":"&amp;S198&amp;";")&amp;IF(T198="","",$T$5&amp;":"&amp;T198&amp;";")&amp;IF(U198="","",$U$5&amp;":"&amp;U198&amp;";")&amp;IF(V198="","",$V$5&amp;":"&amp;V198&amp;";")&amp;IF(W198="","",$W$5&amp;":"&amp;W198&amp;";")&amp;IF(X198="","",$X$5&amp;":"&amp;X198&amp;";")&amp;IF(Y198="","",$Y$5&amp;":"&amp;Y198&amp;";")&amp;IF(Z198="","",$Z$5&amp;":"&amp;Z198&amp;";")&amp;IF(AA198="","",$AA$5&amp;":"&amp;AA198&amp;";")&amp;IF(AB198="","",$AB$5&amp;":"&amp;AB198&amp;";")&amp;IF(AC198="","",$AC$5&amp;":"&amp;AC198&amp;";")&amp;IF(AD198="","",$AD$5&amp;":"&amp;AD198&amp;";")&amp;IF(AE198="","",$AE$5&amp;":"&amp;AE198&amp;";")&amp;IF(AF198="","",$AF$5&amp;":"&amp;AF198&amp;";")&amp;IF(AG198="","",$AG$5&amp;":"&amp;AG198&amp;";")&amp;IF(AH198="","",$AH$5&amp;":"&amp;AH198&amp;";")&amp;IF(AI198="","",$AI$5&amp;":"&amp;AI198&amp;";")&amp;IF(AJ198="","",$AJ$5&amp;":"&amp;AJ198&amp;";")&amp;IF(AK198="","",$AK$5&amp;":"&amp;AK198&amp;";")&amp;IF(AL198="","",$AL$5&amp;":"&amp;AL198&amp;";")&amp;IF(AM198="","",$AM$5&amp;":"&amp;AM198&amp;";")&amp;IF(AN198="","",$AN$5&amp;":"&amp;AN198&amp;";")&amp;IF(AO198="","",$AO$5&amp;":"&amp;AO198&amp;";")&amp;IF(AP198="","",$AP$5&amp;":"&amp;AP198&amp;";")&amp;IF(AQ198="","",$AQ$5&amp;":"&amp;AQ198&amp;";")&amp;IF(AR198="","",$AR$5&amp;":"&amp;AR198&amp;";")&amp;IF(AS198="","",$AS$5&amp;":"&amp;AS198&amp;";")&amp;IF(AT198="","",$AT$5&amp;":"&amp;AT198&amp;";")&amp;IF(AU198="","",$AU$5&amp;":"&amp;AU198&amp;";")</f>
        <v/>
      </c>
      <c r="M198" s="361"/>
      <c r="N198" s="361"/>
      <c r="O198" s="361"/>
      <c r="P198" s="361"/>
      <c r="Q198" s="361"/>
      <c r="R198" s="361"/>
      <c r="S198" s="361"/>
      <c r="T198" s="361"/>
      <c r="U198" s="361"/>
      <c r="V198" s="361"/>
      <c r="W198" s="361"/>
      <c r="X198" s="361"/>
      <c r="Y198" s="361"/>
      <c r="Z198" s="361"/>
      <c r="AA198" s="361"/>
      <c r="AB198" s="361"/>
      <c r="AC198" s="361"/>
      <c r="AD198" s="361"/>
      <c r="AE198" s="361"/>
      <c r="AF198" s="361"/>
      <c r="AG198" s="361"/>
      <c r="AH198" s="361"/>
      <c r="AI198" s="361"/>
      <c r="AJ198" s="361"/>
      <c r="AK198" s="361"/>
      <c r="AL198" s="361"/>
      <c r="AM198" s="361"/>
      <c r="AN198" s="361"/>
      <c r="AO198" s="361"/>
      <c r="AP198" s="361"/>
      <c r="AQ198" s="361"/>
      <c r="AR198" s="361"/>
      <c r="AS198" s="361"/>
      <c r="AT198" s="361"/>
      <c r="AU198" s="361"/>
      <c r="AV198" s="351"/>
      <c r="AW198" s="351"/>
      <c r="AX198" s="351"/>
      <c r="AY198" s="260"/>
      <c r="AZ198" s="181"/>
      <c r="BA198" s="351"/>
      <c r="BB198" s="351"/>
      <c r="BC198" s="156"/>
      <c r="BD198" s="156"/>
      <c r="BE198" s="156"/>
      <c r="BF198" s="156"/>
      <c r="BG198" s="156"/>
      <c r="BH198" s="351"/>
    </row>
    <row r="199" spans="1:62" s="179" customFormat="1" ht="24.65" customHeight="1">
      <c r="A199" s="145"/>
      <c r="B199" s="163" t="s">
        <v>1757</v>
      </c>
      <c r="C199" s="164"/>
      <c r="D199" s="368"/>
      <c r="E199" s="368"/>
      <c r="F199" s="368"/>
      <c r="G199" s="410"/>
      <c r="H199" s="411"/>
      <c r="I199" s="411"/>
      <c r="J199" s="411"/>
      <c r="K199" s="411"/>
      <c r="L199" s="411"/>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c r="AL199" s="368"/>
      <c r="AM199" s="368"/>
      <c r="AN199" s="368"/>
      <c r="AO199" s="368"/>
      <c r="AP199" s="368"/>
      <c r="AQ199" s="368"/>
      <c r="AR199" s="368"/>
      <c r="AS199" s="368"/>
      <c r="AT199" s="368"/>
      <c r="AU199" s="368"/>
      <c r="AV199" s="368"/>
      <c r="AW199" s="368"/>
      <c r="AX199" s="368"/>
      <c r="AY199" s="257"/>
      <c r="AZ199" s="178"/>
      <c r="BA199" s="368"/>
      <c r="BB199" s="368"/>
      <c r="BC199" s="165"/>
      <c r="BD199" s="165"/>
      <c r="BE199" s="165"/>
      <c r="BF199" s="165"/>
      <c r="BG199" s="165"/>
      <c r="BH199" s="368"/>
      <c r="BI199" s="412"/>
      <c r="BJ199" s="412"/>
    </row>
    <row r="200" spans="1:62" ht="105.75" customHeight="1">
      <c r="A200" s="348">
        <f>SUBTOTAL(3,C$11:$C200)</f>
        <v>141</v>
      </c>
      <c r="B200" s="337" t="s">
        <v>574</v>
      </c>
      <c r="C200" s="338" t="s">
        <v>44</v>
      </c>
      <c r="D200" s="361">
        <v>1.6392</v>
      </c>
      <c r="E200" s="177"/>
      <c r="F200" s="361">
        <v>1.6392</v>
      </c>
      <c r="G200" s="414">
        <f>SUM(M200:AR200)</f>
        <v>1.6400000000000001</v>
      </c>
      <c r="H200" s="413" t="s">
        <v>1016</v>
      </c>
      <c r="I200" s="413" t="s">
        <v>1298</v>
      </c>
      <c r="J200" s="413" t="s">
        <v>1018</v>
      </c>
      <c r="K200" s="413" t="str">
        <f>IF(M200&lt;&gt;0,$M$5&amp;", ","")&amp;IF(N200&lt;&gt;0,$N$5&amp;", ","")&amp;IF(O200&lt;&gt;0,O$5&amp;", ","")&amp;IF(P200&lt;&gt;0,P$5&amp;", ","")&amp;IF(Q200&lt;&gt;0,Q$5&amp;", ","")&amp;IF(R200&lt;&gt;0,R$5&amp;", ","")&amp;IF(S200&lt;&gt;0,S$5&amp;", ","")&amp;IF(T200&lt;&gt;0,T$5&amp;", ","")&amp;IF(U200&lt;&gt;0,U$5&amp;", ","")&amp;IF(V200&lt;&gt;0,V$5&amp;", ","")&amp;IF(W200&lt;&gt;0,W$5&amp;", ","")&amp;IF(X200&lt;&gt;0,X$5&amp;", ","")&amp;IF(Y200&lt;&gt;0,Y$5&amp;", ","")&amp;IF(Z200&lt;&gt;0,Z$5&amp;", ","")&amp;IF(AA200&lt;&gt;0,AA$5&amp;", ","")&amp;IF(AB200&lt;&gt;0,AB$5&amp;", ","")&amp;IF(AC200&lt;&gt;0,AC$5&amp;", ","")&amp;IF(AD200&lt;&gt;0,AD$5&amp;", ","")&amp;IF(AE200&lt;&gt;0,AE$5&amp;", ","")&amp;IF(AF200&lt;&gt;0,AF$5&amp;", ","")&amp;IF(AG200&lt;&gt;0,AG$5&amp;", ","")&amp;IF(AH200&lt;&gt;0,AH$5&amp;", ","")&amp;IF(AI200&lt;&gt;0,AI$5&amp;", ","")&amp;IF(AJ200&lt;&gt;0,AJ$5&amp;", ","")&amp;IF(AK200&lt;&gt;0,AK$5&amp;", ","")&amp;IF(AL200&lt;&gt;0,AL$5&amp;", ","")&amp;IF(AM200&lt;&gt;0,AM$5&amp;", ","")&amp;IF(AN200&lt;&gt;0,AN$5&amp;", ","")&amp;IF(AO200&lt;&gt;0,AO$5&amp;", ","")&amp;IF(AP200&lt;&gt;0,AP$5&amp;", ","")&amp;IF(AQ200&lt;&gt;0,AQ$5&amp;", ","")&amp;IF(AR200&lt;&gt;0,AR$5,"")&amp;IF(AS200&lt;&gt;0,AS$5,"")&amp;IF(AT200&lt;&gt;0,AT$5,"")&amp;IF(AU200&lt;&gt;0,AU$5,"")</f>
        <v xml:space="preserve">LUC, LUK, HNK, CLN, NTS, </v>
      </c>
      <c r="L200" s="413" t="str">
        <f>IF(M200="","",$M$5&amp;":"&amp;M200&amp;";")&amp;IF(N200="","",$N$5&amp;":"&amp;N200&amp;";")&amp;IF(O200="","",$O$5&amp;":"&amp;O200&amp;";")&amp;IF(P200="","",$P$5&amp;":"&amp;P200&amp;";")&amp;IF(Q200="","",$Q$5&amp;":"&amp;Q200&amp;";")&amp;IF(R200="","",$R$5&amp;":"&amp;R200&amp;";")&amp;IF(S200="","",$S$5&amp;":"&amp;S200&amp;";")&amp;IF(T200="","",$T$5&amp;":"&amp;T200&amp;";")&amp;IF(U200="","",$U$5&amp;":"&amp;U200&amp;";")&amp;IF(V200="","",$V$5&amp;":"&amp;V200&amp;";")&amp;IF(W200="","",$W$5&amp;":"&amp;W200&amp;";")&amp;IF(X200="","",$X$5&amp;":"&amp;X200&amp;";")&amp;IF(Y200="","",$Y$5&amp;":"&amp;Y200&amp;";")&amp;IF(Z200="","",$Z$5&amp;":"&amp;Z200&amp;";")&amp;IF(AA200="","",$AA$5&amp;":"&amp;AA200&amp;";")&amp;IF(AB200="","",$AB$5&amp;":"&amp;AB200&amp;";")&amp;IF(AC200="","",$AC$5&amp;":"&amp;AC200&amp;";")&amp;IF(AD200="","",$AD$5&amp;":"&amp;AD200&amp;";")&amp;IF(AE200="","",$AE$5&amp;":"&amp;AE200&amp;";")&amp;IF(AF200="","",$AF$5&amp;":"&amp;AF200&amp;";")&amp;IF(AG200="","",$AG$5&amp;":"&amp;AG200&amp;";")&amp;IF(AH200="","",$AH$5&amp;":"&amp;AH200&amp;";")&amp;IF(AI200="","",$AI$5&amp;":"&amp;AI200&amp;";")&amp;IF(AJ200="","",$AJ$5&amp;":"&amp;AJ200&amp;";")&amp;IF(AK200="","",$AK$5&amp;":"&amp;AK200&amp;";")&amp;IF(AL200="","",$AL$5&amp;":"&amp;AL200&amp;";")&amp;IF(AM200="","",$AM$5&amp;":"&amp;AM200&amp;";")&amp;IF(AN200="","",$AN$5&amp;":"&amp;AN200&amp;";")&amp;IF(AO200="","",$AO$5&amp;":"&amp;AO200&amp;";")&amp;IF(AP200="","",$AP$5&amp;":"&amp;AP200&amp;";")&amp;IF(AQ200="","",$AQ$5&amp;":"&amp;AQ200&amp;";")&amp;IF(AR200="","",$AR$5&amp;":"&amp;AR200&amp;";")&amp;IF(AS200="","",$AS$5&amp;":"&amp;AS200&amp;";")&amp;IF(AT200="","",$AT$5&amp;":"&amp;AT200&amp;";")&amp;IF(AU200="","",$AU$5&amp;":"&amp;AU200&amp;";")</f>
        <v>LUC:0,33;LUK:0,12;HNK:0,21;CLN:0,66;NTS:0,32;</v>
      </c>
      <c r="M200" s="361">
        <v>0.33</v>
      </c>
      <c r="N200" s="361">
        <v>0.12</v>
      </c>
      <c r="O200" s="361">
        <v>0.21</v>
      </c>
      <c r="P200" s="361">
        <v>0.66</v>
      </c>
      <c r="Q200" s="361">
        <v>0.32</v>
      </c>
      <c r="R200" s="361"/>
      <c r="S200" s="361"/>
      <c r="T200" s="361"/>
      <c r="U200" s="361"/>
      <c r="V200" s="361"/>
      <c r="W200" s="361"/>
      <c r="X200" s="361"/>
      <c r="Y200" s="361"/>
      <c r="Z200" s="361"/>
      <c r="AA200" s="361"/>
      <c r="AB200" s="361"/>
      <c r="AC200" s="361"/>
      <c r="AD200" s="361"/>
      <c r="AE200" s="361"/>
      <c r="AF200" s="361"/>
      <c r="AG200" s="361"/>
      <c r="AH200" s="361"/>
      <c r="AI200" s="361"/>
      <c r="AJ200" s="361"/>
      <c r="AK200" s="361"/>
      <c r="AL200" s="361"/>
      <c r="AM200" s="361"/>
      <c r="AN200" s="361"/>
      <c r="AO200" s="361"/>
      <c r="AP200" s="361"/>
      <c r="AQ200" s="361"/>
      <c r="AR200" s="361"/>
      <c r="AS200" s="361"/>
      <c r="AT200" s="361"/>
      <c r="AU200" s="361"/>
      <c r="AV200" s="338" t="s">
        <v>575</v>
      </c>
      <c r="AW200" s="338" t="s">
        <v>575</v>
      </c>
      <c r="AX200" s="338"/>
      <c r="AY200" s="259"/>
      <c r="AZ200" s="234"/>
      <c r="BA200" s="338"/>
      <c r="BB200" s="338"/>
      <c r="BC200" s="171" t="s">
        <v>270</v>
      </c>
      <c r="BD200" s="171"/>
      <c r="BE200" s="171"/>
      <c r="BF200" s="171" t="s">
        <v>263</v>
      </c>
      <c r="BG200" s="171"/>
      <c r="BH200" s="338"/>
    </row>
    <row r="201" spans="1:62" ht="36" customHeight="1">
      <c r="A201" s="348">
        <f>SUBTOTAL(3,C$11:$C201)</f>
        <v>142</v>
      </c>
      <c r="B201" s="337" t="s">
        <v>576</v>
      </c>
      <c r="C201" s="338" t="s">
        <v>44</v>
      </c>
      <c r="D201" s="339">
        <v>5</v>
      </c>
      <c r="E201" s="339"/>
      <c r="F201" s="339">
        <v>5</v>
      </c>
      <c r="G201" s="414">
        <f>SUM(M201:AR201)</f>
        <v>5</v>
      </c>
      <c r="H201" s="413" t="s">
        <v>5</v>
      </c>
      <c r="I201" s="413" t="s">
        <v>7</v>
      </c>
      <c r="J201" s="413"/>
      <c r="K201" s="413" t="str">
        <f>IF(M201&lt;&gt;0,$M$5&amp;", ","")&amp;IF(N201&lt;&gt;0,$N$5&amp;", ","")&amp;IF(O201&lt;&gt;0,O$5&amp;", ","")&amp;IF(P201&lt;&gt;0,P$5&amp;", ","")&amp;IF(Q201&lt;&gt;0,Q$5&amp;", ","")&amp;IF(R201&lt;&gt;0,R$5&amp;", ","")&amp;IF(S201&lt;&gt;0,S$5&amp;", ","")&amp;IF(T201&lt;&gt;0,T$5&amp;", ","")&amp;IF(U201&lt;&gt;0,U$5&amp;", ","")&amp;IF(V201&lt;&gt;0,V$5&amp;", ","")&amp;IF(W201&lt;&gt;0,W$5&amp;", ","")&amp;IF(X201&lt;&gt;0,X$5&amp;", ","")&amp;IF(Y201&lt;&gt;0,Y$5&amp;", ","")&amp;IF(Z201&lt;&gt;0,Z$5&amp;", ","")&amp;IF(AA201&lt;&gt;0,AA$5&amp;", ","")&amp;IF(AB201&lt;&gt;0,AB$5&amp;", ","")&amp;IF(AC201&lt;&gt;0,AC$5&amp;", ","")&amp;IF(AD201&lt;&gt;0,AD$5&amp;", ","")&amp;IF(AE201&lt;&gt;0,AE$5&amp;", ","")&amp;IF(AF201&lt;&gt;0,AF$5&amp;", ","")&amp;IF(AG201&lt;&gt;0,AG$5&amp;", ","")&amp;IF(AH201&lt;&gt;0,AH$5&amp;", ","")&amp;IF(AI201&lt;&gt;0,AI$5&amp;", ","")&amp;IF(AJ201&lt;&gt;0,AJ$5&amp;", ","")&amp;IF(AK201&lt;&gt;0,AK$5&amp;", ","")&amp;IF(AL201&lt;&gt;0,AL$5&amp;", ","")&amp;IF(AM201&lt;&gt;0,AM$5&amp;", ","")&amp;IF(AN201&lt;&gt;0,AN$5&amp;", ","")&amp;IF(AO201&lt;&gt;0,AO$5&amp;", ","")&amp;IF(AP201&lt;&gt;0,AP$5&amp;", ","")&amp;IF(AQ201&lt;&gt;0,AQ$5&amp;", ","")&amp;IF(AR201&lt;&gt;0,AR$5,"")&amp;IF(AS201&lt;&gt;0,AS$5,"")&amp;IF(AT201&lt;&gt;0,AT$5,"")&amp;IF(AU201&lt;&gt;0,AU$5,"")</f>
        <v xml:space="preserve">LUC, </v>
      </c>
      <c r="L201" s="413" t="str">
        <f>IF(M201="","",$M$5&amp;":"&amp;M201&amp;";")&amp;IF(N201="","",$N$5&amp;":"&amp;N201&amp;";")&amp;IF(O201="","",$O$5&amp;":"&amp;O201&amp;";")&amp;IF(P201="","",$P$5&amp;":"&amp;P201&amp;";")&amp;IF(Q201="","",$Q$5&amp;":"&amp;Q201&amp;";")&amp;IF(R201="","",$R$5&amp;":"&amp;R201&amp;";")&amp;IF(S201="","",$S$5&amp;":"&amp;S201&amp;";")&amp;IF(T201="","",$T$5&amp;":"&amp;T201&amp;";")&amp;IF(U201="","",$U$5&amp;":"&amp;U201&amp;";")&amp;IF(V201="","",$V$5&amp;":"&amp;V201&amp;";")&amp;IF(W201="","",$W$5&amp;":"&amp;W201&amp;";")&amp;IF(X201="","",$X$5&amp;":"&amp;X201&amp;";")&amp;IF(Y201="","",$Y$5&amp;":"&amp;Y201&amp;";")&amp;IF(Z201="","",$Z$5&amp;":"&amp;Z201&amp;";")&amp;IF(AA201="","",$AA$5&amp;":"&amp;AA201&amp;";")&amp;IF(AB201="","",$AB$5&amp;":"&amp;AB201&amp;";")&amp;IF(AC201="","",$AC$5&amp;":"&amp;AC201&amp;";")&amp;IF(AD201="","",$AD$5&amp;":"&amp;AD201&amp;";")&amp;IF(AE201="","",$AE$5&amp;":"&amp;AE201&amp;";")&amp;IF(AF201="","",$AF$5&amp;":"&amp;AF201&amp;";")&amp;IF(AG201="","",$AG$5&amp;":"&amp;AG201&amp;";")&amp;IF(AH201="","",$AH$5&amp;":"&amp;AH201&amp;";")&amp;IF(AI201="","",$AI$5&amp;":"&amp;AI201&amp;";")&amp;IF(AJ201="","",$AJ$5&amp;":"&amp;AJ201&amp;";")&amp;IF(AK201="","",$AK$5&amp;":"&amp;AK201&amp;";")&amp;IF(AL201="","",$AL$5&amp;":"&amp;AL201&amp;";")&amp;IF(AM201="","",$AM$5&amp;":"&amp;AM201&amp;";")&amp;IF(AN201="","",$AN$5&amp;":"&amp;AN201&amp;";")&amp;IF(AO201="","",$AO$5&amp;":"&amp;AO201&amp;";")&amp;IF(AP201="","",$AP$5&amp;":"&amp;AP201&amp;";")&amp;IF(AQ201="","",$AQ$5&amp;":"&amp;AQ201&amp;";")&amp;IF(AR201="","",$AR$5&amp;":"&amp;AR201&amp;";")&amp;IF(AS201="","",$AS$5&amp;":"&amp;AS201&amp;";")&amp;IF(AT201="","",$AT$5&amp;":"&amp;AT201&amp;";")&amp;IF(AU201="","",$AU$5&amp;":"&amp;AU201&amp;";")</f>
        <v>LUC:5;</v>
      </c>
      <c r="M201" s="339">
        <v>5</v>
      </c>
      <c r="N201" s="339"/>
      <c r="O201" s="339"/>
      <c r="P201" s="339"/>
      <c r="Q201" s="339"/>
      <c r="R201" s="339"/>
      <c r="S201" s="339"/>
      <c r="T201" s="339"/>
      <c r="U201" s="339"/>
      <c r="V201" s="339"/>
      <c r="W201" s="339"/>
      <c r="X201" s="339"/>
      <c r="Y201" s="339"/>
      <c r="Z201" s="339"/>
      <c r="AA201" s="339"/>
      <c r="AB201" s="339"/>
      <c r="AC201" s="339"/>
      <c r="AD201" s="339"/>
      <c r="AE201" s="339"/>
      <c r="AF201" s="339"/>
      <c r="AG201" s="339"/>
      <c r="AH201" s="339"/>
      <c r="AI201" s="339"/>
      <c r="AJ201" s="339"/>
      <c r="AK201" s="339"/>
      <c r="AL201" s="339"/>
      <c r="AM201" s="339"/>
      <c r="AN201" s="339"/>
      <c r="AO201" s="339"/>
      <c r="AP201" s="339"/>
      <c r="AQ201" s="339"/>
      <c r="AR201" s="339"/>
      <c r="AS201" s="339"/>
      <c r="AT201" s="339"/>
      <c r="AU201" s="339"/>
      <c r="AV201" s="338" t="s">
        <v>286</v>
      </c>
      <c r="AW201" s="338" t="s">
        <v>286</v>
      </c>
      <c r="AX201" s="350"/>
      <c r="AY201" s="356"/>
      <c r="AZ201" s="352"/>
      <c r="BA201" s="350"/>
      <c r="BB201" s="350"/>
      <c r="BC201" s="171" t="s">
        <v>270</v>
      </c>
      <c r="BD201" s="171"/>
      <c r="BE201" s="171"/>
      <c r="BF201" s="171" t="s">
        <v>263</v>
      </c>
      <c r="BG201" s="171"/>
      <c r="BH201" s="350"/>
    </row>
    <row r="202" spans="1:62" ht="42" customHeight="1">
      <c r="A202" s="348">
        <f>SUBTOTAL(3,C$11:$C202)</f>
        <v>143</v>
      </c>
      <c r="B202" s="337" t="s">
        <v>581</v>
      </c>
      <c r="C202" s="338" t="s">
        <v>44</v>
      </c>
      <c r="D202" s="339">
        <v>13.27</v>
      </c>
      <c r="E202" s="339"/>
      <c r="F202" s="339">
        <v>13.27</v>
      </c>
      <c r="G202" s="414">
        <f>SUM(M202:AR202)</f>
        <v>13.27</v>
      </c>
      <c r="H202" s="413" t="s">
        <v>1303</v>
      </c>
      <c r="I202" s="413" t="s">
        <v>1304</v>
      </c>
      <c r="J202" s="413" t="s">
        <v>1303</v>
      </c>
      <c r="K202" s="413" t="str">
        <f>IF(M202&lt;&gt;0,$M$5&amp;", ","")&amp;IF(N202&lt;&gt;0,$N$5&amp;", ","")&amp;IF(O202&lt;&gt;0,O$5&amp;", ","")&amp;IF(P202&lt;&gt;0,P$5&amp;", ","")&amp;IF(Q202&lt;&gt;0,Q$5&amp;", ","")&amp;IF(R202&lt;&gt;0,R$5&amp;", ","")&amp;IF(S202&lt;&gt;0,S$5&amp;", ","")&amp;IF(T202&lt;&gt;0,T$5&amp;", ","")&amp;IF(U202&lt;&gt;0,U$5&amp;", ","")&amp;IF(V202&lt;&gt;0,V$5&amp;", ","")&amp;IF(W202&lt;&gt;0,W$5&amp;", ","")&amp;IF(X202&lt;&gt;0,X$5&amp;", ","")&amp;IF(Y202&lt;&gt;0,Y$5&amp;", ","")&amp;IF(Z202&lt;&gt;0,Z$5&amp;", ","")&amp;IF(AA202&lt;&gt;0,AA$5&amp;", ","")&amp;IF(AB202&lt;&gt;0,AB$5&amp;", ","")&amp;IF(AC202&lt;&gt;0,AC$5&amp;", ","")&amp;IF(AD202&lt;&gt;0,AD$5&amp;", ","")&amp;IF(AE202&lt;&gt;0,AE$5&amp;", ","")&amp;IF(AF202&lt;&gt;0,AF$5&amp;", ","")&amp;IF(AG202&lt;&gt;0,AG$5&amp;", ","")&amp;IF(AH202&lt;&gt;0,AH$5&amp;", ","")&amp;IF(AI202&lt;&gt;0,AI$5&amp;", ","")&amp;IF(AJ202&lt;&gt;0,AJ$5&amp;", ","")&amp;IF(AK202&lt;&gt;0,AK$5&amp;", ","")&amp;IF(AL202&lt;&gt;0,AL$5&amp;", ","")&amp;IF(AM202&lt;&gt;0,AM$5&amp;", ","")&amp;IF(AN202&lt;&gt;0,AN$5&amp;", ","")&amp;IF(AO202&lt;&gt;0,AO$5&amp;", ","")&amp;IF(AP202&lt;&gt;0,AP$5&amp;", ","")&amp;IF(AQ202&lt;&gt;0,AQ$5&amp;", ","")&amp;IF(AR202&lt;&gt;0,AR$5,"")&amp;IF(AS202&lt;&gt;0,AS$5,"")&amp;IF(AT202&lt;&gt;0,AT$5,"")&amp;IF(AU202&lt;&gt;0,AU$5,"")</f>
        <v xml:space="preserve">LUC, HNK, NTS, DGT, ONT, </v>
      </c>
      <c r="L202" s="413" t="str">
        <f>IF(M202="","",$M$5&amp;":"&amp;M202&amp;";")&amp;IF(N202="","",$N$5&amp;":"&amp;N202&amp;";")&amp;IF(O202="","",$O$5&amp;":"&amp;O202&amp;";")&amp;IF(P202="","",$P$5&amp;":"&amp;P202&amp;";")&amp;IF(Q202="","",$Q$5&amp;":"&amp;Q202&amp;";")&amp;IF(R202="","",$R$5&amp;":"&amp;R202&amp;";")&amp;IF(S202="","",$S$5&amp;":"&amp;S202&amp;";")&amp;IF(T202="","",$T$5&amp;":"&amp;T202&amp;";")&amp;IF(U202="","",$U$5&amp;":"&amp;U202&amp;";")&amp;IF(V202="","",$V$5&amp;":"&amp;V202&amp;";")&amp;IF(W202="","",$W$5&amp;":"&amp;W202&amp;";")&amp;IF(X202="","",$X$5&amp;":"&amp;X202&amp;";")&amp;IF(Y202="","",$Y$5&amp;":"&amp;Y202&amp;";")&amp;IF(Z202="","",$Z$5&amp;":"&amp;Z202&amp;";")&amp;IF(AA202="","",$AA$5&amp;":"&amp;AA202&amp;";")&amp;IF(AB202="","",$AB$5&amp;":"&amp;AB202&amp;";")&amp;IF(AC202="","",$AC$5&amp;":"&amp;AC202&amp;";")&amp;IF(AD202="","",$AD$5&amp;":"&amp;AD202&amp;";")&amp;IF(AE202="","",$AE$5&amp;":"&amp;AE202&amp;";")&amp;IF(AF202="","",$AF$5&amp;":"&amp;AF202&amp;";")&amp;IF(AG202="","",$AG$5&amp;":"&amp;AG202&amp;";")&amp;IF(AH202="","",$AH$5&amp;":"&amp;AH202&amp;";")&amp;IF(AI202="","",$AI$5&amp;":"&amp;AI202&amp;";")&amp;IF(AJ202="","",$AJ$5&amp;":"&amp;AJ202&amp;";")&amp;IF(AK202="","",$AK$5&amp;":"&amp;AK202&amp;";")&amp;IF(AL202="","",$AL$5&amp;":"&amp;AL202&amp;";")&amp;IF(AM202="","",$AM$5&amp;":"&amp;AM202&amp;";")&amp;IF(AN202="","",$AN$5&amp;":"&amp;AN202&amp;";")&amp;IF(AO202="","",$AO$5&amp;":"&amp;AO202&amp;";")&amp;IF(AP202="","",$AP$5&amp;":"&amp;AP202&amp;";")&amp;IF(AQ202="","",$AQ$5&amp;":"&amp;AQ202&amp;";")&amp;IF(AR202="","",$AR$5&amp;":"&amp;AR202&amp;";")&amp;IF(AS202="","",$AS$5&amp;":"&amp;AS202&amp;";")&amp;IF(AT202="","",$AT$5&amp;":"&amp;AT202&amp;";")&amp;IF(AU202="","",$AU$5&amp;":"&amp;AU202&amp;";")</f>
        <v>LUC:8,58;HNK:1,13;NTS:1,93;DGT:0,25;ONT:1,38;</v>
      </c>
      <c r="M202" s="339">
        <v>8.58</v>
      </c>
      <c r="N202" s="339"/>
      <c r="O202" s="339">
        <v>1.1299999999999999</v>
      </c>
      <c r="P202" s="339"/>
      <c r="Q202" s="339">
        <v>1.93</v>
      </c>
      <c r="R202" s="339"/>
      <c r="S202" s="339"/>
      <c r="T202" s="339"/>
      <c r="U202" s="339"/>
      <c r="V202" s="339"/>
      <c r="W202" s="339">
        <v>0.25</v>
      </c>
      <c r="X202" s="339"/>
      <c r="Y202" s="339"/>
      <c r="Z202" s="339"/>
      <c r="AA202" s="339"/>
      <c r="AB202" s="339"/>
      <c r="AC202" s="339"/>
      <c r="AD202" s="339"/>
      <c r="AE202" s="339"/>
      <c r="AF202" s="339"/>
      <c r="AG202" s="339"/>
      <c r="AH202" s="339"/>
      <c r="AI202" s="339"/>
      <c r="AJ202" s="339"/>
      <c r="AK202" s="339"/>
      <c r="AL202" s="339">
        <v>1.38</v>
      </c>
      <c r="AM202" s="339"/>
      <c r="AN202" s="339"/>
      <c r="AO202" s="339"/>
      <c r="AP202" s="339"/>
      <c r="AQ202" s="339"/>
      <c r="AR202" s="339"/>
      <c r="AS202" s="339"/>
      <c r="AT202" s="339"/>
      <c r="AU202" s="339"/>
      <c r="AV202" s="338" t="s">
        <v>300</v>
      </c>
      <c r="AW202" s="338" t="s">
        <v>300</v>
      </c>
      <c r="AX202" s="351" t="s">
        <v>319</v>
      </c>
      <c r="AY202" s="260" t="s">
        <v>319</v>
      </c>
      <c r="AZ202" s="181" t="s">
        <v>1305</v>
      </c>
      <c r="BA202" s="351"/>
      <c r="BB202" s="351"/>
      <c r="BC202" s="156" t="s">
        <v>267</v>
      </c>
      <c r="BD202" s="156"/>
      <c r="BE202" s="156"/>
      <c r="BF202" s="156" t="s">
        <v>263</v>
      </c>
      <c r="BG202" s="156"/>
      <c r="BH202" s="351"/>
    </row>
    <row r="203" spans="1:62" ht="57.75" customHeight="1">
      <c r="A203" s="595">
        <f>SUBTOTAL(3,C$11:$C203)</f>
        <v>144</v>
      </c>
      <c r="B203" s="613" t="s">
        <v>577</v>
      </c>
      <c r="C203" s="614" t="s">
        <v>44</v>
      </c>
      <c r="D203" s="615">
        <v>0.48</v>
      </c>
      <c r="E203" s="612"/>
      <c r="F203" s="339">
        <f>F204+F205</f>
        <v>0.48</v>
      </c>
      <c r="G203" s="414"/>
      <c r="H203" s="413" t="s">
        <v>1196</v>
      </c>
      <c r="I203" s="413"/>
      <c r="J203" s="413"/>
      <c r="K203" s="413"/>
      <c r="L203" s="413"/>
      <c r="M203" s="339"/>
      <c r="N203" s="339"/>
      <c r="O203" s="339"/>
      <c r="P203" s="339"/>
      <c r="Q203" s="339"/>
      <c r="R203" s="339"/>
      <c r="S203" s="339"/>
      <c r="T203" s="339"/>
      <c r="U203" s="339"/>
      <c r="V203" s="339"/>
      <c r="W203" s="339"/>
      <c r="X203" s="339"/>
      <c r="Y203" s="339"/>
      <c r="Z203" s="339"/>
      <c r="AA203" s="339"/>
      <c r="AB203" s="339"/>
      <c r="AC203" s="339"/>
      <c r="AD203" s="339"/>
      <c r="AE203" s="339"/>
      <c r="AF203" s="339"/>
      <c r="AG203" s="339"/>
      <c r="AH203" s="339"/>
      <c r="AI203" s="339"/>
      <c r="AJ203" s="339"/>
      <c r="AK203" s="339"/>
      <c r="AL203" s="339"/>
      <c r="AM203" s="339"/>
      <c r="AN203" s="339"/>
      <c r="AO203" s="339"/>
      <c r="AP203" s="339"/>
      <c r="AQ203" s="339"/>
      <c r="AR203" s="339"/>
      <c r="AS203" s="339"/>
      <c r="AT203" s="339"/>
      <c r="AU203" s="339"/>
      <c r="AV203" s="338" t="s">
        <v>1299</v>
      </c>
      <c r="AW203" s="338"/>
      <c r="AX203" s="350"/>
      <c r="AY203" s="356"/>
      <c r="AZ203" s="352"/>
      <c r="BA203" s="350"/>
      <c r="BB203" s="350"/>
      <c r="BC203" s="171"/>
      <c r="BD203" s="171"/>
      <c r="BE203" s="171"/>
      <c r="BF203" s="171"/>
      <c r="BG203" s="171"/>
      <c r="BH203" s="350"/>
    </row>
    <row r="204" spans="1:62" ht="36" customHeight="1">
      <c r="A204" s="595"/>
      <c r="B204" s="613"/>
      <c r="C204" s="614"/>
      <c r="D204" s="615"/>
      <c r="E204" s="612"/>
      <c r="F204" s="361">
        <v>0.24</v>
      </c>
      <c r="G204" s="414">
        <f>SUM(M204:AR204)</f>
        <v>0.24000000000000002</v>
      </c>
      <c r="H204" s="413" t="s">
        <v>1120</v>
      </c>
      <c r="I204" s="413" t="s">
        <v>1120</v>
      </c>
      <c r="J204" s="413"/>
      <c r="K204" s="413" t="str">
        <f>IF(M204&lt;&gt;0,$M$5&amp;", ","")&amp;IF(N204&lt;&gt;0,$N$5&amp;", ","")&amp;IF(O204&lt;&gt;0,O$5&amp;", ","")&amp;IF(P204&lt;&gt;0,P$5&amp;", ","")&amp;IF(Q204&lt;&gt;0,Q$5&amp;", ","")&amp;IF(R204&lt;&gt;0,R$5&amp;", ","")&amp;IF(S204&lt;&gt;0,S$5&amp;", ","")&amp;IF(T204&lt;&gt;0,T$5&amp;", ","")&amp;IF(U204&lt;&gt;0,U$5&amp;", ","")&amp;IF(V204&lt;&gt;0,V$5&amp;", ","")&amp;IF(W204&lt;&gt;0,W$5&amp;", ","")&amp;IF(X204&lt;&gt;0,X$5&amp;", ","")&amp;IF(Y204&lt;&gt;0,Y$5&amp;", ","")&amp;IF(Z204&lt;&gt;0,Z$5&amp;", ","")&amp;IF(AA204&lt;&gt;0,AA$5&amp;", ","")&amp;IF(AB204&lt;&gt;0,AB$5&amp;", ","")&amp;IF(AC204&lt;&gt;0,AC$5&amp;", ","")&amp;IF(AD204&lt;&gt;0,AD$5&amp;", ","")&amp;IF(AE204&lt;&gt;0,AE$5&amp;", ","")&amp;IF(AF204&lt;&gt;0,AF$5&amp;", ","")&amp;IF(AG204&lt;&gt;0,AG$5&amp;", ","")&amp;IF(AH204&lt;&gt;0,AH$5&amp;", ","")&amp;IF(AI204&lt;&gt;0,AI$5&amp;", ","")&amp;IF(AJ204&lt;&gt;0,AJ$5&amp;", ","")&amp;IF(AK204&lt;&gt;0,AK$5&amp;", ","")&amp;IF(AL204&lt;&gt;0,AL$5&amp;", ","")&amp;IF(AM204&lt;&gt;0,AM$5&amp;", ","")&amp;IF(AN204&lt;&gt;0,AN$5&amp;", ","")&amp;IF(AO204&lt;&gt;0,AO$5&amp;", ","")&amp;IF(AP204&lt;&gt;0,AP$5&amp;", ","")&amp;IF(AQ204&lt;&gt;0,AQ$5&amp;", ","")&amp;IF(AR204&lt;&gt;0,AR$5,"")&amp;IF(AS204&lt;&gt;0,AS$5,"")&amp;IF(AT204&lt;&gt;0,AT$5,"")&amp;IF(AU204&lt;&gt;0,AU$5,"")</f>
        <v xml:space="preserve">HNK, CLN, </v>
      </c>
      <c r="L204" s="413" t="str">
        <f>IF(M204="","",$M$5&amp;":"&amp;M204&amp;";")&amp;IF(N204="","",$N$5&amp;":"&amp;N204&amp;";")&amp;IF(O204="","",$O$5&amp;":"&amp;O204&amp;";")&amp;IF(P204="","",$P$5&amp;":"&amp;P204&amp;";")&amp;IF(Q204="","",$Q$5&amp;":"&amp;Q204&amp;";")&amp;IF(R204="","",$R$5&amp;":"&amp;R204&amp;";")&amp;IF(S204="","",$S$5&amp;":"&amp;S204&amp;";")&amp;IF(T204="","",$T$5&amp;":"&amp;T204&amp;";")&amp;IF(U204="","",$U$5&amp;":"&amp;U204&amp;";")&amp;IF(V204="","",$V$5&amp;":"&amp;V204&amp;";")&amp;IF(W204="","",$W$5&amp;":"&amp;W204&amp;";")&amp;IF(X204="","",$X$5&amp;":"&amp;X204&amp;";")&amp;IF(Y204="","",$Y$5&amp;":"&amp;Y204&amp;";")&amp;IF(Z204="","",$Z$5&amp;":"&amp;Z204&amp;";")&amp;IF(AA204="","",$AA$5&amp;":"&amp;AA204&amp;";")&amp;IF(AB204="","",$AB$5&amp;":"&amp;AB204&amp;";")&amp;IF(AC204="","",$AC$5&amp;":"&amp;AC204&amp;";")&amp;IF(AD204="","",$AD$5&amp;":"&amp;AD204&amp;";")&amp;IF(AE204="","",$AE$5&amp;":"&amp;AE204&amp;";")&amp;IF(AF204="","",$AF$5&amp;":"&amp;AF204&amp;";")&amp;IF(AG204="","",$AG$5&amp;":"&amp;AG204&amp;";")&amp;IF(AH204="","",$AH$5&amp;":"&amp;AH204&amp;";")&amp;IF(AI204="","",$AI$5&amp;":"&amp;AI204&amp;";")&amp;IF(AJ204="","",$AJ$5&amp;":"&amp;AJ204&amp;";")&amp;IF(AK204="","",$AK$5&amp;":"&amp;AK204&amp;";")&amp;IF(AL204="","",$AL$5&amp;":"&amp;AL204&amp;";")&amp;IF(AM204="","",$AM$5&amp;":"&amp;AM204&amp;";")&amp;IF(AN204="","",$AN$5&amp;":"&amp;AN204&amp;";")&amp;IF(AO204="","",$AO$5&amp;":"&amp;AO204&amp;";")&amp;IF(AP204="","",$AP$5&amp;":"&amp;AP204&amp;";")&amp;IF(AQ204="","",$AQ$5&amp;":"&amp;AQ204&amp;";")&amp;IF(AR204="","",$AR$5&amp;":"&amp;AR204&amp;";")&amp;IF(AS204="","",$AS$5&amp;":"&amp;AS204&amp;";")&amp;IF(AT204="","",$AT$5&amp;":"&amp;AT204&amp;";")&amp;IF(AU204="","",$AU$5&amp;":"&amp;AU204&amp;";")</f>
        <v>HNK:0,1;CLN:0,14;</v>
      </c>
      <c r="M204" s="361"/>
      <c r="N204" s="361"/>
      <c r="O204" s="361">
        <v>0.1</v>
      </c>
      <c r="P204" s="361">
        <v>0.14000000000000001</v>
      </c>
      <c r="Q204" s="361"/>
      <c r="R204" s="361"/>
      <c r="S204" s="361"/>
      <c r="T204" s="361"/>
      <c r="U204" s="361"/>
      <c r="V204" s="361"/>
      <c r="W204" s="361"/>
      <c r="X204" s="361"/>
      <c r="Y204" s="361"/>
      <c r="Z204" s="361"/>
      <c r="AA204" s="361"/>
      <c r="AB204" s="361"/>
      <c r="AC204" s="361"/>
      <c r="AD204" s="361"/>
      <c r="AE204" s="361"/>
      <c r="AF204" s="361"/>
      <c r="AG204" s="361"/>
      <c r="AH204" s="361"/>
      <c r="AI204" s="361"/>
      <c r="AJ204" s="361"/>
      <c r="AK204" s="361"/>
      <c r="AL204" s="361"/>
      <c r="AM204" s="361"/>
      <c r="AN204" s="361"/>
      <c r="AO204" s="361"/>
      <c r="AP204" s="361"/>
      <c r="AQ204" s="361"/>
      <c r="AR204" s="361"/>
      <c r="AS204" s="361"/>
      <c r="AT204" s="361"/>
      <c r="AU204" s="361"/>
      <c r="AV204" s="338" t="s">
        <v>318</v>
      </c>
      <c r="AW204" s="338" t="s">
        <v>318</v>
      </c>
      <c r="AX204" s="350"/>
      <c r="AY204" s="356"/>
      <c r="AZ204" s="352"/>
      <c r="BA204" s="350"/>
      <c r="BB204" s="616"/>
      <c r="BC204" s="171" t="s">
        <v>270</v>
      </c>
      <c r="BD204" s="171"/>
      <c r="BE204" s="171"/>
      <c r="BF204" s="171" t="s">
        <v>263</v>
      </c>
      <c r="BG204" s="171"/>
      <c r="BH204" s="350"/>
    </row>
    <row r="205" spans="1:62" ht="36" customHeight="1">
      <c r="A205" s="595"/>
      <c r="B205" s="613"/>
      <c r="C205" s="614"/>
      <c r="D205" s="615"/>
      <c r="E205" s="612"/>
      <c r="F205" s="361">
        <v>0.24</v>
      </c>
      <c r="G205" s="414">
        <f>SUM(M205:AR205)</f>
        <v>0.24000000000000002</v>
      </c>
      <c r="H205" s="413" t="s">
        <v>1094</v>
      </c>
      <c r="I205" s="413" t="s">
        <v>1095</v>
      </c>
      <c r="J205" s="413"/>
      <c r="K205" s="413" t="str">
        <f>IF(M205&lt;&gt;0,$M$5&amp;", ","")&amp;IF(N205&lt;&gt;0,$N$5&amp;", ","")&amp;IF(O205&lt;&gt;0,O$5&amp;", ","")&amp;IF(P205&lt;&gt;0,P$5&amp;", ","")&amp;IF(Q205&lt;&gt;0,Q$5&amp;", ","")&amp;IF(R205&lt;&gt;0,R$5&amp;", ","")&amp;IF(S205&lt;&gt;0,S$5&amp;", ","")&amp;IF(T205&lt;&gt;0,T$5&amp;", ","")&amp;IF(U205&lt;&gt;0,U$5&amp;", ","")&amp;IF(V205&lt;&gt;0,V$5&amp;", ","")&amp;IF(W205&lt;&gt;0,W$5&amp;", ","")&amp;IF(X205&lt;&gt;0,X$5&amp;", ","")&amp;IF(Y205&lt;&gt;0,Y$5&amp;", ","")&amp;IF(Z205&lt;&gt;0,Z$5&amp;", ","")&amp;IF(AA205&lt;&gt;0,AA$5&amp;", ","")&amp;IF(AB205&lt;&gt;0,AB$5&amp;", ","")&amp;IF(AC205&lt;&gt;0,AC$5&amp;", ","")&amp;IF(AD205&lt;&gt;0,AD$5&amp;", ","")&amp;IF(AE205&lt;&gt;0,AE$5&amp;", ","")&amp;IF(AF205&lt;&gt;0,AF$5&amp;", ","")&amp;IF(AG205&lt;&gt;0,AG$5&amp;", ","")&amp;IF(AH205&lt;&gt;0,AH$5&amp;", ","")&amp;IF(AI205&lt;&gt;0,AI$5&amp;", ","")&amp;IF(AJ205&lt;&gt;0,AJ$5&amp;", ","")&amp;IF(AK205&lt;&gt;0,AK$5&amp;", ","")&amp;IF(AL205&lt;&gt;0,AL$5&amp;", ","")&amp;IF(AM205&lt;&gt;0,AM$5&amp;", ","")&amp;IF(AN205&lt;&gt;0,AN$5&amp;", ","")&amp;IF(AO205&lt;&gt;0,AO$5&amp;", ","")&amp;IF(AP205&lt;&gt;0,AP$5&amp;", ","")&amp;IF(AQ205&lt;&gt;0,AQ$5&amp;", ","")&amp;IF(AR205&lt;&gt;0,AR$5,"")&amp;IF(AS205&lt;&gt;0,AS$5,"")&amp;IF(AT205&lt;&gt;0,AT$5,"")&amp;IF(AU205&lt;&gt;0,AU$5,"")</f>
        <v xml:space="preserve">LUC, HNK, </v>
      </c>
      <c r="L205" s="413" t="str">
        <f>IF(M205="","",$M$5&amp;":"&amp;M205&amp;";")&amp;IF(N205="","",$N$5&amp;":"&amp;N205&amp;";")&amp;IF(O205="","",$O$5&amp;":"&amp;O205&amp;";")&amp;IF(P205="","",$P$5&amp;":"&amp;P205&amp;";")&amp;IF(Q205="","",$Q$5&amp;":"&amp;Q205&amp;";")&amp;IF(R205="","",$R$5&amp;":"&amp;R205&amp;";")&amp;IF(S205="","",$S$5&amp;":"&amp;S205&amp;";")&amp;IF(T205="","",$T$5&amp;":"&amp;T205&amp;";")&amp;IF(U205="","",$U$5&amp;":"&amp;U205&amp;";")&amp;IF(V205="","",$V$5&amp;":"&amp;V205&amp;";")&amp;IF(W205="","",$W$5&amp;":"&amp;W205&amp;";")&amp;IF(X205="","",$X$5&amp;":"&amp;X205&amp;";")&amp;IF(Y205="","",$Y$5&amp;":"&amp;Y205&amp;";")&amp;IF(Z205="","",$Z$5&amp;":"&amp;Z205&amp;";")&amp;IF(AA205="","",$AA$5&amp;":"&amp;AA205&amp;";")&amp;IF(AB205="","",$AB$5&amp;":"&amp;AB205&amp;";")&amp;IF(AC205="","",$AC$5&amp;":"&amp;AC205&amp;";")&amp;IF(AD205="","",$AD$5&amp;":"&amp;AD205&amp;";")&amp;IF(AE205="","",$AE$5&amp;":"&amp;AE205&amp;";")&amp;IF(AF205="","",$AF$5&amp;":"&amp;AF205&amp;";")&amp;IF(AG205="","",$AG$5&amp;":"&amp;AG205&amp;";")&amp;IF(AH205="","",$AH$5&amp;":"&amp;AH205&amp;";")&amp;IF(AI205="","",$AI$5&amp;":"&amp;AI205&amp;";")&amp;IF(AJ205="","",$AJ$5&amp;":"&amp;AJ205&amp;";")&amp;IF(AK205="","",$AK$5&amp;":"&amp;AK205&amp;";")&amp;IF(AL205="","",$AL$5&amp;":"&amp;AL205&amp;";")&amp;IF(AM205="","",$AM$5&amp;":"&amp;AM205&amp;";")&amp;IF(AN205="","",$AN$5&amp;":"&amp;AN205&amp;";")&amp;IF(AO205="","",$AO$5&amp;":"&amp;AO205&amp;";")&amp;IF(AP205="","",$AP$5&amp;":"&amp;AP205&amp;";")&amp;IF(AQ205="","",$AQ$5&amp;":"&amp;AQ205&amp;";")&amp;IF(AR205="","",$AR$5&amp;":"&amp;AR205&amp;";")&amp;IF(AS205="","",$AS$5&amp;":"&amp;AS205&amp;";")&amp;IF(AT205="","",$AT$5&amp;":"&amp;AT205&amp;";")&amp;IF(AU205="","",$AU$5&amp;":"&amp;AU205&amp;";")</f>
        <v>LUC:0,1;HNK:0,14;</v>
      </c>
      <c r="M205" s="361">
        <v>0.1</v>
      </c>
      <c r="N205" s="361"/>
      <c r="O205" s="361">
        <v>0.14000000000000001</v>
      </c>
      <c r="P205" s="361"/>
      <c r="Q205" s="361"/>
      <c r="R205" s="361"/>
      <c r="S205" s="361"/>
      <c r="T205" s="361"/>
      <c r="U205" s="361"/>
      <c r="V205" s="361"/>
      <c r="W205" s="361"/>
      <c r="X205" s="361"/>
      <c r="Y205" s="361"/>
      <c r="Z205" s="361"/>
      <c r="AA205" s="361"/>
      <c r="AB205" s="361"/>
      <c r="AC205" s="361"/>
      <c r="AD205" s="361"/>
      <c r="AE205" s="361"/>
      <c r="AF205" s="361"/>
      <c r="AG205" s="361"/>
      <c r="AH205" s="361"/>
      <c r="AI205" s="361"/>
      <c r="AJ205" s="361"/>
      <c r="AK205" s="361"/>
      <c r="AL205" s="361"/>
      <c r="AM205" s="361"/>
      <c r="AN205" s="361"/>
      <c r="AO205" s="361"/>
      <c r="AP205" s="361"/>
      <c r="AQ205" s="361"/>
      <c r="AR205" s="361"/>
      <c r="AS205" s="361"/>
      <c r="AT205" s="361"/>
      <c r="AU205" s="361"/>
      <c r="AV205" s="338" t="s">
        <v>286</v>
      </c>
      <c r="AW205" s="338" t="s">
        <v>286</v>
      </c>
      <c r="AX205" s="350"/>
      <c r="AY205" s="356"/>
      <c r="AZ205" s="352"/>
      <c r="BA205" s="350"/>
      <c r="BB205" s="616"/>
      <c r="BC205" s="171"/>
      <c r="BD205" s="171"/>
      <c r="BE205" s="171"/>
      <c r="BF205" s="171" t="s">
        <v>263</v>
      </c>
      <c r="BG205" s="171"/>
      <c r="BH205" s="350"/>
    </row>
    <row r="206" spans="1:62" ht="90" customHeight="1">
      <c r="A206" s="611">
        <f>SUBTOTAL(3,C$11:$C206)</f>
        <v>145</v>
      </c>
      <c r="B206" s="613" t="s">
        <v>580</v>
      </c>
      <c r="C206" s="614" t="s">
        <v>44</v>
      </c>
      <c r="D206" s="615">
        <v>1.6319999999999999</v>
      </c>
      <c r="E206" s="612"/>
      <c r="F206" s="615">
        <v>1.6319999999999999</v>
      </c>
      <c r="G206" s="414"/>
      <c r="H206" s="413" t="s">
        <v>1072</v>
      </c>
      <c r="I206" s="413"/>
      <c r="J206" s="413"/>
      <c r="K206" s="413"/>
      <c r="L206" s="413"/>
      <c r="M206" s="196"/>
      <c r="N206" s="196"/>
      <c r="O206" s="196"/>
      <c r="P206" s="196"/>
      <c r="Q206" s="196"/>
      <c r="R206" s="196"/>
      <c r="S206" s="196"/>
      <c r="T206" s="196"/>
      <c r="U206" s="196"/>
      <c r="V206" s="196"/>
      <c r="W206" s="196"/>
      <c r="X206" s="196"/>
      <c r="Y206" s="196"/>
      <c r="Z206" s="196"/>
      <c r="AA206" s="196"/>
      <c r="AB206" s="196"/>
      <c r="AC206" s="196"/>
      <c r="AD206" s="196"/>
      <c r="AE206" s="196"/>
      <c r="AF206" s="196"/>
      <c r="AG206" s="196"/>
      <c r="AH206" s="196"/>
      <c r="AI206" s="196"/>
      <c r="AJ206" s="196"/>
      <c r="AK206" s="196"/>
      <c r="AL206" s="196"/>
      <c r="AM206" s="196"/>
      <c r="AN206" s="196"/>
      <c r="AO206" s="196"/>
      <c r="AP206" s="196"/>
      <c r="AQ206" s="196"/>
      <c r="AR206" s="196"/>
      <c r="AS206" s="196"/>
      <c r="AT206" s="196"/>
      <c r="AU206" s="196"/>
      <c r="AV206" s="338" t="s">
        <v>1301</v>
      </c>
      <c r="AW206" s="338"/>
      <c r="AX206" s="351"/>
      <c r="AY206" s="260"/>
      <c r="AZ206" s="181"/>
      <c r="BA206" s="351"/>
      <c r="BB206" s="351"/>
      <c r="BC206" s="156"/>
      <c r="BD206" s="156"/>
      <c r="BE206" s="156"/>
      <c r="BF206" s="156"/>
      <c r="BG206" s="156"/>
      <c r="BH206" s="351"/>
    </row>
    <row r="207" spans="1:62" ht="36" customHeight="1">
      <c r="A207" s="611"/>
      <c r="B207" s="613"/>
      <c r="C207" s="614"/>
      <c r="D207" s="615"/>
      <c r="E207" s="612"/>
      <c r="F207" s="615"/>
      <c r="G207" s="414">
        <f t="shared" ref="G207:G211" si="25">SUM(M207:AR207)</f>
        <v>0.33</v>
      </c>
      <c r="H207" s="413" t="s">
        <v>5</v>
      </c>
      <c r="I207" s="413" t="s">
        <v>7</v>
      </c>
      <c r="J207" s="413"/>
      <c r="K207" s="413" t="str">
        <f>IF(M207&lt;&gt;0,$M$5&amp;", ","")&amp;IF(N207&lt;&gt;0,$N$5&amp;", ","")&amp;IF(O207&lt;&gt;0,O$5&amp;", ","")&amp;IF(P207&lt;&gt;0,P$5&amp;", ","")&amp;IF(Q207&lt;&gt;0,Q$5&amp;", ","")&amp;IF(R207&lt;&gt;0,R$5&amp;", ","")&amp;IF(S207&lt;&gt;0,S$5&amp;", ","")&amp;IF(T207&lt;&gt;0,T$5&amp;", ","")&amp;IF(U207&lt;&gt;0,U$5&amp;", ","")&amp;IF(V207&lt;&gt;0,V$5&amp;", ","")&amp;IF(W207&lt;&gt;0,W$5&amp;", ","")&amp;IF(X207&lt;&gt;0,X$5&amp;", ","")&amp;IF(Y207&lt;&gt;0,Y$5&amp;", ","")&amp;IF(Z207&lt;&gt;0,Z$5&amp;", ","")&amp;IF(AA207&lt;&gt;0,AA$5&amp;", ","")&amp;IF(AB207&lt;&gt;0,AB$5&amp;", ","")&amp;IF(AC207&lt;&gt;0,AC$5&amp;", ","")&amp;IF(AD207&lt;&gt;0,AD$5&amp;", ","")&amp;IF(AE207&lt;&gt;0,AE$5&amp;", ","")&amp;IF(AF207&lt;&gt;0,AF$5&amp;", ","")&amp;IF(AG207&lt;&gt;0,AG$5&amp;", ","")&amp;IF(AH207&lt;&gt;0,AH$5&amp;", ","")&amp;IF(AI207&lt;&gt;0,AI$5&amp;", ","")&amp;IF(AJ207&lt;&gt;0,AJ$5&amp;", ","")&amp;IF(AK207&lt;&gt;0,AK$5&amp;", ","")&amp;IF(AL207&lt;&gt;0,AL$5&amp;", ","")&amp;IF(AM207&lt;&gt;0,AM$5&amp;", ","")&amp;IF(AN207&lt;&gt;0,AN$5&amp;", ","")&amp;IF(AO207&lt;&gt;0,AO$5&amp;", ","")&amp;IF(AP207&lt;&gt;0,AP$5&amp;", ","")&amp;IF(AQ207&lt;&gt;0,AQ$5&amp;", ","")&amp;IF(AR207&lt;&gt;0,AR$5,"")&amp;IF(AS207&lt;&gt;0,AS$5,"")&amp;IF(AT207&lt;&gt;0,AT$5,"")&amp;IF(AU207&lt;&gt;0,AU$5,"")</f>
        <v xml:space="preserve">LUC, </v>
      </c>
      <c r="L207" s="413" t="str">
        <f t="shared" ref="L207:L211" si="26">IF(M207="","",$M$5&amp;":"&amp;M207&amp;";")&amp;IF(N207="","",$N$5&amp;":"&amp;N207&amp;";")&amp;IF(O207="","",$O$5&amp;":"&amp;O207&amp;";")&amp;IF(P207="","",$P$5&amp;":"&amp;P207&amp;";")&amp;IF(Q207="","",$Q$5&amp;":"&amp;Q207&amp;";")&amp;IF(R207="","",$R$5&amp;":"&amp;R207&amp;";")&amp;IF(S207="","",$S$5&amp;":"&amp;S207&amp;";")&amp;IF(T207="","",$T$5&amp;":"&amp;T207&amp;";")&amp;IF(U207="","",$U$5&amp;":"&amp;U207&amp;";")&amp;IF(V207="","",$V$5&amp;":"&amp;V207&amp;";")&amp;IF(W207="","",$W$5&amp;":"&amp;W207&amp;";")&amp;IF(X207="","",$X$5&amp;":"&amp;X207&amp;";")&amp;IF(Y207="","",$Y$5&amp;":"&amp;Y207&amp;";")&amp;IF(Z207="","",$Z$5&amp;":"&amp;Z207&amp;";")&amp;IF(AA207="","",$AA$5&amp;":"&amp;AA207&amp;";")&amp;IF(AB207="","",$AB$5&amp;":"&amp;AB207&amp;";")&amp;IF(AC207="","",$AC$5&amp;":"&amp;AC207&amp;";")&amp;IF(AD207="","",$AD$5&amp;":"&amp;AD207&amp;";")&amp;IF(AE207="","",$AE$5&amp;":"&amp;AE207&amp;";")&amp;IF(AF207="","",$AF$5&amp;":"&amp;AF207&amp;";")&amp;IF(AG207="","",$AG$5&amp;":"&amp;AG207&amp;";")&amp;IF(AH207="","",$AH$5&amp;":"&amp;AH207&amp;";")&amp;IF(AI207="","",$AI$5&amp;":"&amp;AI207&amp;";")&amp;IF(AJ207="","",$AJ$5&amp;":"&amp;AJ207&amp;";")&amp;IF(AK207="","",$AK$5&amp;":"&amp;AK207&amp;";")&amp;IF(AL207="","",$AL$5&amp;":"&amp;AL207&amp;";")&amp;IF(AM207="","",$AM$5&amp;":"&amp;AM207&amp;";")&amp;IF(AN207="","",$AN$5&amp;":"&amp;AN207&amp;";")&amp;IF(AO207="","",$AO$5&amp;":"&amp;AO207&amp;";")&amp;IF(AP207="","",$AP$5&amp;":"&amp;AP207&amp;";")&amp;IF(AQ207="","",$AQ$5&amp;":"&amp;AQ207&amp;";")&amp;IF(AR207="","",$AR$5&amp;":"&amp;AR207&amp;";")&amp;IF(AS207="","",$AS$5&amp;":"&amp;AS207&amp;";")&amp;IF(AT207="","",$AT$5&amp;":"&amp;AT207&amp;";")&amp;IF(AU207="","",$AU$5&amp;":"&amp;AU207&amp;";")</f>
        <v>LUC:0,33;</v>
      </c>
      <c r="M207" s="361">
        <v>0.33</v>
      </c>
      <c r="N207" s="361"/>
      <c r="O207" s="361"/>
      <c r="P207" s="361"/>
      <c r="Q207" s="361"/>
      <c r="R207" s="361"/>
      <c r="S207" s="361"/>
      <c r="T207" s="361"/>
      <c r="U207" s="361"/>
      <c r="V207" s="361"/>
      <c r="W207" s="361"/>
      <c r="X207" s="361"/>
      <c r="Y207" s="361"/>
      <c r="Z207" s="361"/>
      <c r="AA207" s="361"/>
      <c r="AB207" s="361"/>
      <c r="AC207" s="361"/>
      <c r="AD207" s="361"/>
      <c r="AE207" s="361"/>
      <c r="AF207" s="361"/>
      <c r="AG207" s="361"/>
      <c r="AH207" s="361"/>
      <c r="AI207" s="361"/>
      <c r="AJ207" s="361"/>
      <c r="AK207" s="361"/>
      <c r="AL207" s="361"/>
      <c r="AM207" s="361"/>
      <c r="AN207" s="361"/>
      <c r="AO207" s="361"/>
      <c r="AP207" s="361"/>
      <c r="AQ207" s="361"/>
      <c r="AR207" s="361"/>
      <c r="AS207" s="361"/>
      <c r="AT207" s="361"/>
      <c r="AU207" s="361"/>
      <c r="AV207" s="338" t="s">
        <v>370</v>
      </c>
      <c r="AW207" s="338" t="s">
        <v>370</v>
      </c>
      <c r="AX207" s="351"/>
      <c r="AY207" s="260"/>
      <c r="AZ207" s="181"/>
      <c r="BA207" s="351"/>
      <c r="BB207" s="605"/>
      <c r="BC207" s="156" t="s">
        <v>316</v>
      </c>
      <c r="BD207" s="156"/>
      <c r="BE207" s="156"/>
      <c r="BF207" s="156" t="s">
        <v>263</v>
      </c>
      <c r="BG207" s="156"/>
      <c r="BH207" s="351"/>
    </row>
    <row r="208" spans="1:62" ht="36" customHeight="1">
      <c r="A208" s="611"/>
      <c r="B208" s="613"/>
      <c r="C208" s="614"/>
      <c r="D208" s="615"/>
      <c r="E208" s="612"/>
      <c r="F208" s="615"/>
      <c r="G208" s="414">
        <f t="shared" si="25"/>
        <v>0.32</v>
      </c>
      <c r="H208" s="413" t="s">
        <v>1208</v>
      </c>
      <c r="I208" s="413" t="s">
        <v>1208</v>
      </c>
      <c r="J208" s="413"/>
      <c r="K208" s="413" t="str">
        <f>IF(M208&lt;&gt;0,$M$5&amp;", ","")&amp;IF(N208&lt;&gt;0,$N$5&amp;", ","")&amp;IF(O208&lt;&gt;0,O$5&amp;", ","")&amp;IF(P208&lt;&gt;0,P$5&amp;", ","")&amp;IF(Q208&lt;&gt;0,Q$5&amp;", ","")&amp;IF(R208&lt;&gt;0,R$5&amp;", ","")&amp;IF(S208&lt;&gt;0,S$5&amp;", ","")&amp;IF(T208&lt;&gt;0,T$5&amp;", ","")&amp;IF(U208&lt;&gt;0,U$5&amp;", ","")&amp;IF(V208&lt;&gt;0,V$5&amp;", ","")&amp;IF(W208&lt;&gt;0,W$5&amp;", ","")&amp;IF(X208&lt;&gt;0,X$5&amp;", ","")&amp;IF(Y208&lt;&gt;0,Y$5&amp;", ","")&amp;IF(Z208&lt;&gt;0,Z$5&amp;", ","")&amp;IF(AA208&lt;&gt;0,AA$5&amp;", ","")&amp;IF(AB208&lt;&gt;0,AB$5&amp;", ","")&amp;IF(AC208&lt;&gt;0,AC$5&amp;", ","")&amp;IF(AD208&lt;&gt;0,AD$5&amp;", ","")&amp;IF(AE208&lt;&gt;0,AE$5&amp;", ","")&amp;IF(AF208&lt;&gt;0,AF$5&amp;", ","")&amp;IF(AG208&lt;&gt;0,AG$5&amp;", ","")&amp;IF(AH208&lt;&gt;0,AH$5&amp;", ","")&amp;IF(AI208&lt;&gt;0,AI$5&amp;", ","")&amp;IF(AJ208&lt;&gt;0,AJ$5&amp;", ","")&amp;IF(AK208&lt;&gt;0,AK$5&amp;", ","")&amp;IF(AL208&lt;&gt;0,AL$5&amp;", ","")&amp;IF(AM208&lt;&gt;0,AM$5&amp;", ","")&amp;IF(AN208&lt;&gt;0,AN$5&amp;", ","")&amp;IF(AO208&lt;&gt;0,AO$5&amp;", ","")&amp;IF(AP208&lt;&gt;0,AP$5&amp;", ","")&amp;IF(AQ208&lt;&gt;0,AQ$5&amp;", ","")&amp;IF(AR208&lt;&gt;0,AR$5,"")&amp;IF(AS208&lt;&gt;0,AS$5,"")&amp;IF(AT208&lt;&gt;0,AT$5,"")&amp;IF(AU208&lt;&gt;0,AU$5,"")</f>
        <v xml:space="preserve">LUK, HNK, </v>
      </c>
      <c r="L208" s="413" t="str">
        <f t="shared" si="26"/>
        <v>LUK:0,11;HNK:0,21;</v>
      </c>
      <c r="M208" s="361"/>
      <c r="N208" s="361">
        <v>0.11</v>
      </c>
      <c r="O208" s="361">
        <v>0.21</v>
      </c>
      <c r="P208" s="361"/>
      <c r="Q208" s="361"/>
      <c r="R208" s="361"/>
      <c r="S208" s="361"/>
      <c r="T208" s="361"/>
      <c r="U208" s="361"/>
      <c r="V208" s="361"/>
      <c r="W208" s="361"/>
      <c r="X208" s="361"/>
      <c r="Y208" s="361"/>
      <c r="Z208" s="361"/>
      <c r="AA208" s="361"/>
      <c r="AB208" s="361"/>
      <c r="AC208" s="361"/>
      <c r="AD208" s="361"/>
      <c r="AE208" s="361"/>
      <c r="AF208" s="361"/>
      <c r="AG208" s="361"/>
      <c r="AH208" s="361"/>
      <c r="AI208" s="361"/>
      <c r="AJ208" s="361"/>
      <c r="AK208" s="361"/>
      <c r="AL208" s="361"/>
      <c r="AM208" s="361"/>
      <c r="AN208" s="361"/>
      <c r="AO208" s="361"/>
      <c r="AP208" s="361"/>
      <c r="AQ208" s="361"/>
      <c r="AR208" s="361"/>
      <c r="AS208" s="361"/>
      <c r="AT208" s="361"/>
      <c r="AU208" s="361"/>
      <c r="AV208" s="338" t="s">
        <v>266</v>
      </c>
      <c r="AW208" s="338" t="s">
        <v>266</v>
      </c>
      <c r="AX208" s="351"/>
      <c r="AY208" s="260"/>
      <c r="AZ208" s="181"/>
      <c r="BA208" s="351"/>
      <c r="BB208" s="605"/>
      <c r="BC208" s="156"/>
      <c r="BD208" s="156"/>
      <c r="BE208" s="156"/>
      <c r="BF208" s="156" t="s">
        <v>263</v>
      </c>
      <c r="BG208" s="156"/>
      <c r="BH208" s="351"/>
    </row>
    <row r="209" spans="1:62" ht="36" customHeight="1">
      <c r="A209" s="611"/>
      <c r="B209" s="613"/>
      <c r="C209" s="614"/>
      <c r="D209" s="615"/>
      <c r="E209" s="612"/>
      <c r="F209" s="615"/>
      <c r="G209" s="414">
        <f t="shared" si="25"/>
        <v>0.33</v>
      </c>
      <c r="H209" s="413" t="s">
        <v>13</v>
      </c>
      <c r="I209" s="413" t="s">
        <v>13</v>
      </c>
      <c r="J209" s="413"/>
      <c r="K209" s="413" t="str">
        <f>IF(M209&lt;&gt;0,$M$5&amp;", ","")&amp;IF(N209&lt;&gt;0,$N$5&amp;", ","")&amp;IF(O209&lt;&gt;0,O$5&amp;", ","")&amp;IF(P209&lt;&gt;0,P$5&amp;", ","")&amp;IF(Q209&lt;&gt;0,Q$5&amp;", ","")&amp;IF(R209&lt;&gt;0,R$5&amp;", ","")&amp;IF(S209&lt;&gt;0,S$5&amp;", ","")&amp;IF(T209&lt;&gt;0,T$5&amp;", ","")&amp;IF(U209&lt;&gt;0,U$5&amp;", ","")&amp;IF(V209&lt;&gt;0,V$5&amp;", ","")&amp;IF(W209&lt;&gt;0,W$5&amp;", ","")&amp;IF(X209&lt;&gt;0,X$5&amp;", ","")&amp;IF(Y209&lt;&gt;0,Y$5&amp;", ","")&amp;IF(Z209&lt;&gt;0,Z$5&amp;", ","")&amp;IF(AA209&lt;&gt;0,AA$5&amp;", ","")&amp;IF(AB209&lt;&gt;0,AB$5&amp;", ","")&amp;IF(AC209&lt;&gt;0,AC$5&amp;", ","")&amp;IF(AD209&lt;&gt;0,AD$5&amp;", ","")&amp;IF(AE209&lt;&gt;0,AE$5&amp;", ","")&amp;IF(AF209&lt;&gt;0,AF$5&amp;", ","")&amp;IF(AG209&lt;&gt;0,AG$5&amp;", ","")&amp;IF(AH209&lt;&gt;0,AH$5&amp;", ","")&amp;IF(AI209&lt;&gt;0,AI$5&amp;", ","")&amp;IF(AJ209&lt;&gt;0,AJ$5&amp;", ","")&amp;IF(AK209&lt;&gt;0,AK$5&amp;", ","")&amp;IF(AL209&lt;&gt;0,AL$5&amp;", ","")&amp;IF(AM209&lt;&gt;0,AM$5&amp;", ","")&amp;IF(AN209&lt;&gt;0,AN$5&amp;", ","")&amp;IF(AO209&lt;&gt;0,AO$5&amp;", ","")&amp;IF(AP209&lt;&gt;0,AP$5&amp;", ","")&amp;IF(AQ209&lt;&gt;0,AQ$5&amp;", ","")&amp;IF(AR209&lt;&gt;0,AR$5,"")&amp;IF(AS209&lt;&gt;0,AS$5,"")&amp;IF(AT209&lt;&gt;0,AT$5,"")&amp;IF(AU209&lt;&gt;0,AU$5,"")</f>
        <v xml:space="preserve">CLN, </v>
      </c>
      <c r="L209" s="413" t="str">
        <f t="shared" si="26"/>
        <v>CLN:0,33;</v>
      </c>
      <c r="M209" s="361"/>
      <c r="N209" s="361"/>
      <c r="O209" s="361"/>
      <c r="P209" s="361">
        <v>0.33</v>
      </c>
      <c r="Q209" s="361"/>
      <c r="R209" s="361"/>
      <c r="S209" s="361"/>
      <c r="T209" s="361"/>
      <c r="U209" s="361"/>
      <c r="V209" s="361"/>
      <c r="W209" s="361"/>
      <c r="X209" s="361"/>
      <c r="Y209" s="361"/>
      <c r="Z209" s="361"/>
      <c r="AA209" s="361"/>
      <c r="AB209" s="361"/>
      <c r="AC209" s="361"/>
      <c r="AD209" s="361"/>
      <c r="AE209" s="361"/>
      <c r="AF209" s="361"/>
      <c r="AG209" s="361"/>
      <c r="AH209" s="361"/>
      <c r="AI209" s="361"/>
      <c r="AJ209" s="361"/>
      <c r="AK209" s="361"/>
      <c r="AL209" s="361"/>
      <c r="AM209" s="361"/>
      <c r="AN209" s="361"/>
      <c r="AO209" s="361"/>
      <c r="AP209" s="361"/>
      <c r="AQ209" s="361"/>
      <c r="AR209" s="361"/>
      <c r="AS209" s="361"/>
      <c r="AT209" s="361"/>
      <c r="AU209" s="361"/>
      <c r="AV209" s="338" t="s">
        <v>292</v>
      </c>
      <c r="AW209" s="338" t="s">
        <v>292</v>
      </c>
      <c r="AX209" s="351"/>
      <c r="AY209" s="260"/>
      <c r="AZ209" s="181"/>
      <c r="BA209" s="351"/>
      <c r="BB209" s="605"/>
      <c r="BC209" s="156"/>
      <c r="BD209" s="156"/>
      <c r="BE209" s="156"/>
      <c r="BF209" s="156" t="s">
        <v>263</v>
      </c>
      <c r="BG209" s="156"/>
      <c r="BH209" s="351"/>
    </row>
    <row r="210" spans="1:62" ht="36" customHeight="1">
      <c r="A210" s="611"/>
      <c r="B210" s="613"/>
      <c r="C210" s="614"/>
      <c r="D210" s="615"/>
      <c r="E210" s="612"/>
      <c r="F210" s="615"/>
      <c r="G210" s="414">
        <f t="shared" si="25"/>
        <v>0.32</v>
      </c>
      <c r="H210" s="413" t="s">
        <v>1302</v>
      </c>
      <c r="I210" s="413" t="s">
        <v>1302</v>
      </c>
      <c r="J210" s="413"/>
      <c r="K210" s="413" t="str">
        <f>IF(M210&lt;&gt;0,$M$5&amp;", ","")&amp;IF(N210&lt;&gt;0,$N$5&amp;", ","")&amp;IF(O210&lt;&gt;0,O$5&amp;", ","")&amp;IF(P210&lt;&gt;0,P$5&amp;", ","")&amp;IF(Q210&lt;&gt;0,Q$5&amp;", ","")&amp;IF(R210&lt;&gt;0,R$5&amp;", ","")&amp;IF(S210&lt;&gt;0,S$5&amp;", ","")&amp;IF(T210&lt;&gt;0,T$5&amp;", ","")&amp;IF(U210&lt;&gt;0,U$5&amp;", ","")&amp;IF(V210&lt;&gt;0,V$5&amp;", ","")&amp;IF(W210&lt;&gt;0,W$5&amp;", ","")&amp;IF(X210&lt;&gt;0,X$5&amp;", ","")&amp;IF(Y210&lt;&gt;0,Y$5&amp;", ","")&amp;IF(Z210&lt;&gt;0,Z$5&amp;", ","")&amp;IF(AA210&lt;&gt;0,AA$5&amp;", ","")&amp;IF(AB210&lt;&gt;0,AB$5&amp;", ","")&amp;IF(AC210&lt;&gt;0,AC$5&amp;", ","")&amp;IF(AD210&lt;&gt;0,AD$5&amp;", ","")&amp;IF(AE210&lt;&gt;0,AE$5&amp;", ","")&amp;IF(AF210&lt;&gt;0,AF$5&amp;", ","")&amp;IF(AG210&lt;&gt;0,AG$5&amp;", ","")&amp;IF(AH210&lt;&gt;0,AH$5&amp;", ","")&amp;IF(AI210&lt;&gt;0,AI$5&amp;", ","")&amp;IF(AJ210&lt;&gt;0,AJ$5&amp;", ","")&amp;IF(AK210&lt;&gt;0,AK$5&amp;", ","")&amp;IF(AL210&lt;&gt;0,AL$5&amp;", ","")&amp;IF(AM210&lt;&gt;0,AM$5&amp;", ","")&amp;IF(AN210&lt;&gt;0,AN$5&amp;", ","")&amp;IF(AO210&lt;&gt;0,AO$5&amp;", ","")&amp;IF(AP210&lt;&gt;0,AP$5&amp;", ","")&amp;IF(AQ210&lt;&gt;0,AQ$5&amp;", ","")&amp;IF(AR210&lt;&gt;0,AR$5,"")&amp;IF(AS210&lt;&gt;0,AS$5,"")&amp;IF(AT210&lt;&gt;0,AT$5,"")&amp;IF(AU210&lt;&gt;0,AU$5,"")</f>
        <v xml:space="preserve">CLN, NTS, </v>
      </c>
      <c r="L210" s="413" t="str">
        <f t="shared" si="26"/>
        <v>CLN:0,2;NTS:0,12;</v>
      </c>
      <c r="M210" s="361"/>
      <c r="N210" s="361"/>
      <c r="O210" s="361"/>
      <c r="P210" s="361">
        <v>0.2</v>
      </c>
      <c r="Q210" s="361">
        <v>0.12</v>
      </c>
      <c r="R210" s="361"/>
      <c r="S210" s="361"/>
      <c r="T210" s="361"/>
      <c r="U210" s="361"/>
      <c r="V210" s="361"/>
      <c r="W210" s="361"/>
      <c r="X210" s="361"/>
      <c r="Y210" s="361"/>
      <c r="Z210" s="361"/>
      <c r="AA210" s="361"/>
      <c r="AB210" s="361"/>
      <c r="AC210" s="361"/>
      <c r="AD210" s="361"/>
      <c r="AE210" s="361"/>
      <c r="AF210" s="361"/>
      <c r="AG210" s="361"/>
      <c r="AH210" s="361"/>
      <c r="AI210" s="361"/>
      <c r="AJ210" s="361"/>
      <c r="AK210" s="361"/>
      <c r="AL210" s="361"/>
      <c r="AM210" s="361"/>
      <c r="AN210" s="361"/>
      <c r="AO210" s="361"/>
      <c r="AP210" s="361"/>
      <c r="AQ210" s="361"/>
      <c r="AR210" s="361"/>
      <c r="AS210" s="361"/>
      <c r="AT210" s="361"/>
      <c r="AU210" s="361"/>
      <c r="AV210" s="338" t="s">
        <v>286</v>
      </c>
      <c r="AW210" s="338" t="s">
        <v>286</v>
      </c>
      <c r="AX210" s="351"/>
      <c r="AY210" s="260"/>
      <c r="AZ210" s="181"/>
      <c r="BA210" s="351"/>
      <c r="BB210" s="605"/>
      <c r="BC210" s="156"/>
      <c r="BD210" s="156"/>
      <c r="BE210" s="156"/>
      <c r="BF210" s="156" t="s">
        <v>263</v>
      </c>
      <c r="BG210" s="156"/>
      <c r="BH210" s="351"/>
    </row>
    <row r="211" spans="1:62" ht="36" customHeight="1">
      <c r="A211" s="611"/>
      <c r="B211" s="613"/>
      <c r="C211" s="614"/>
      <c r="D211" s="615"/>
      <c r="E211" s="612"/>
      <c r="F211" s="615"/>
      <c r="G211" s="414">
        <f t="shared" si="25"/>
        <v>0.33</v>
      </c>
      <c r="H211" s="413" t="s">
        <v>1302</v>
      </c>
      <c r="I211" s="413" t="s">
        <v>1302</v>
      </c>
      <c r="J211" s="413"/>
      <c r="K211" s="413" t="str">
        <f>IF(M211&lt;&gt;0,$M$5&amp;", ","")&amp;IF(N211&lt;&gt;0,$N$5&amp;", ","")&amp;IF(O211&lt;&gt;0,O$5&amp;", ","")&amp;IF(P211&lt;&gt;0,P$5&amp;", ","")&amp;IF(Q211&lt;&gt;0,Q$5&amp;", ","")&amp;IF(R211&lt;&gt;0,R$5&amp;", ","")&amp;IF(S211&lt;&gt;0,S$5&amp;", ","")&amp;IF(T211&lt;&gt;0,T$5&amp;", ","")&amp;IF(U211&lt;&gt;0,U$5&amp;", ","")&amp;IF(V211&lt;&gt;0,V$5&amp;", ","")&amp;IF(W211&lt;&gt;0,W$5&amp;", ","")&amp;IF(X211&lt;&gt;0,X$5&amp;", ","")&amp;IF(Y211&lt;&gt;0,Y$5&amp;", ","")&amp;IF(Z211&lt;&gt;0,Z$5&amp;", ","")&amp;IF(AA211&lt;&gt;0,AA$5&amp;", ","")&amp;IF(AB211&lt;&gt;0,AB$5&amp;", ","")&amp;IF(AC211&lt;&gt;0,AC$5&amp;", ","")&amp;IF(AD211&lt;&gt;0,AD$5&amp;", ","")&amp;IF(AE211&lt;&gt;0,AE$5&amp;", ","")&amp;IF(AF211&lt;&gt;0,AF$5&amp;", ","")&amp;IF(AG211&lt;&gt;0,AG$5&amp;", ","")&amp;IF(AH211&lt;&gt;0,AH$5&amp;", ","")&amp;IF(AI211&lt;&gt;0,AI$5&amp;", ","")&amp;IF(AJ211&lt;&gt;0,AJ$5&amp;", ","")&amp;IF(AK211&lt;&gt;0,AK$5&amp;", ","")&amp;IF(AL211&lt;&gt;0,AL$5&amp;", ","")&amp;IF(AM211&lt;&gt;0,AM$5&amp;", ","")&amp;IF(AN211&lt;&gt;0,AN$5&amp;", ","")&amp;IF(AO211&lt;&gt;0,AO$5&amp;", ","")&amp;IF(AP211&lt;&gt;0,AP$5&amp;", ","")&amp;IF(AQ211&lt;&gt;0,AQ$5&amp;", ","")&amp;IF(AR211&lt;&gt;0,AR$5,"")&amp;IF(AS211&lt;&gt;0,AS$5,"")&amp;IF(AT211&lt;&gt;0,AT$5,"")&amp;IF(AU211&lt;&gt;0,AU$5,"")</f>
        <v xml:space="preserve">CLN, NTS, </v>
      </c>
      <c r="L211" s="413" t="str">
        <f t="shared" si="26"/>
        <v>CLN:0,13;NTS:0,2;</v>
      </c>
      <c r="M211" s="361"/>
      <c r="N211" s="361"/>
      <c r="O211" s="361"/>
      <c r="P211" s="361">
        <v>0.13</v>
      </c>
      <c r="Q211" s="361">
        <v>0.2</v>
      </c>
      <c r="R211" s="361"/>
      <c r="S211" s="361"/>
      <c r="T211" s="361"/>
      <c r="U211" s="361"/>
      <c r="V211" s="361"/>
      <c r="W211" s="361"/>
      <c r="X211" s="361"/>
      <c r="Y211" s="361"/>
      <c r="Z211" s="361"/>
      <c r="AA211" s="361"/>
      <c r="AB211" s="361"/>
      <c r="AC211" s="361"/>
      <c r="AD211" s="361"/>
      <c r="AE211" s="361"/>
      <c r="AF211" s="361"/>
      <c r="AG211" s="361"/>
      <c r="AH211" s="361"/>
      <c r="AI211" s="361"/>
      <c r="AJ211" s="361"/>
      <c r="AK211" s="361"/>
      <c r="AL211" s="361"/>
      <c r="AM211" s="361"/>
      <c r="AN211" s="361"/>
      <c r="AO211" s="361"/>
      <c r="AP211" s="361"/>
      <c r="AQ211" s="361"/>
      <c r="AR211" s="361"/>
      <c r="AS211" s="361"/>
      <c r="AT211" s="361"/>
      <c r="AU211" s="361"/>
      <c r="AV211" s="338" t="s">
        <v>318</v>
      </c>
      <c r="AW211" s="338" t="s">
        <v>318</v>
      </c>
      <c r="AX211" s="351"/>
      <c r="AY211" s="260"/>
      <c r="AZ211" s="181"/>
      <c r="BA211" s="351"/>
      <c r="BB211" s="605"/>
      <c r="BC211" s="156"/>
      <c r="BD211" s="156"/>
      <c r="BE211" s="156"/>
      <c r="BF211" s="156" t="s">
        <v>263</v>
      </c>
      <c r="BG211" s="156"/>
      <c r="BH211" s="351"/>
    </row>
    <row r="212" spans="1:62" ht="82.75" customHeight="1">
      <c r="A212" s="611">
        <f>SUBTOTAL(3,C$11:$C212)</f>
        <v>146</v>
      </c>
      <c r="B212" s="618" t="s">
        <v>582</v>
      </c>
      <c r="C212" s="619" t="s">
        <v>44</v>
      </c>
      <c r="D212" s="612">
        <v>0.17</v>
      </c>
      <c r="E212" s="612"/>
      <c r="F212" s="612">
        <v>0.17</v>
      </c>
      <c r="G212" s="414"/>
      <c r="H212" s="413" t="s">
        <v>1072</v>
      </c>
      <c r="I212" s="413"/>
      <c r="J212" s="413"/>
      <c r="K212" s="413"/>
      <c r="L212" s="413"/>
      <c r="M212" s="339"/>
      <c r="N212" s="339"/>
      <c r="O212" s="339"/>
      <c r="P212" s="339"/>
      <c r="Q212" s="339"/>
      <c r="R212" s="339"/>
      <c r="S212" s="339"/>
      <c r="T212" s="339"/>
      <c r="U212" s="339"/>
      <c r="V212" s="339"/>
      <c r="W212" s="339"/>
      <c r="X212" s="339"/>
      <c r="Y212" s="339"/>
      <c r="Z212" s="339"/>
      <c r="AA212" s="339"/>
      <c r="AB212" s="339"/>
      <c r="AC212" s="339"/>
      <c r="AD212" s="339"/>
      <c r="AE212" s="339"/>
      <c r="AF212" s="339"/>
      <c r="AG212" s="339"/>
      <c r="AH212" s="339"/>
      <c r="AI212" s="339"/>
      <c r="AJ212" s="339"/>
      <c r="AK212" s="339"/>
      <c r="AL212" s="339"/>
      <c r="AM212" s="339"/>
      <c r="AN212" s="339"/>
      <c r="AO212" s="339"/>
      <c r="AP212" s="339"/>
      <c r="AQ212" s="339"/>
      <c r="AR212" s="339"/>
      <c r="AS212" s="339"/>
      <c r="AT212" s="339"/>
      <c r="AU212" s="339"/>
      <c r="AV212" s="338" t="s">
        <v>1306</v>
      </c>
      <c r="AW212" s="338"/>
      <c r="AX212" s="351"/>
      <c r="AY212" s="260"/>
      <c r="AZ212" s="181"/>
      <c r="BA212" s="351"/>
      <c r="BB212" s="351"/>
      <c r="BC212" s="156"/>
      <c r="BD212" s="156"/>
      <c r="BE212" s="156"/>
      <c r="BF212" s="156"/>
      <c r="BG212" s="156"/>
      <c r="BH212" s="358"/>
    </row>
    <row r="213" spans="1:62" ht="42" customHeight="1">
      <c r="A213" s="611"/>
      <c r="B213" s="618"/>
      <c r="C213" s="619"/>
      <c r="D213" s="612"/>
      <c r="E213" s="612"/>
      <c r="F213" s="612"/>
      <c r="G213" s="414">
        <f t="shared" ref="G213:G218" si="27">SUM(M213:AR213)</f>
        <v>0.03</v>
      </c>
      <c r="H213" s="413" t="s">
        <v>1307</v>
      </c>
      <c r="I213" s="413" t="s">
        <v>7</v>
      </c>
      <c r="J213" s="413" t="s">
        <v>1298</v>
      </c>
      <c r="K213" s="413" t="str">
        <f t="shared" ref="K213:K218" si="28">IF(M213&lt;&gt;0,$M$5&amp;", ","")&amp;IF(N213&lt;&gt;0,$N$5&amp;", ","")&amp;IF(O213&lt;&gt;0,O$5&amp;", ","")&amp;IF(P213&lt;&gt;0,P$5&amp;", ","")&amp;IF(Q213&lt;&gt;0,Q$5&amp;", ","")&amp;IF(R213&lt;&gt;0,R$5&amp;", ","")&amp;IF(S213&lt;&gt;0,S$5&amp;", ","")&amp;IF(T213&lt;&gt;0,T$5&amp;", ","")&amp;IF(U213&lt;&gt;0,U$5&amp;", ","")&amp;IF(V213&lt;&gt;0,V$5&amp;", ","")&amp;IF(W213&lt;&gt;0,W$5&amp;", ","")&amp;IF(X213&lt;&gt;0,X$5&amp;", ","")&amp;IF(Y213&lt;&gt;0,Y$5&amp;", ","")&amp;IF(Z213&lt;&gt;0,Z$5&amp;", ","")&amp;IF(AA213&lt;&gt;0,AA$5&amp;", ","")&amp;IF(AB213&lt;&gt;0,AB$5&amp;", ","")&amp;IF(AC213&lt;&gt;0,AC$5&amp;", ","")&amp;IF(AD213&lt;&gt;0,AD$5&amp;", ","")&amp;IF(AE213&lt;&gt;0,AE$5&amp;", ","")&amp;IF(AF213&lt;&gt;0,AF$5&amp;", ","")&amp;IF(AG213&lt;&gt;0,AG$5&amp;", ","")&amp;IF(AH213&lt;&gt;0,AH$5&amp;", ","")&amp;IF(AI213&lt;&gt;0,AI$5&amp;", ","")&amp;IF(AJ213&lt;&gt;0,AJ$5&amp;", ","")&amp;IF(AK213&lt;&gt;0,AK$5&amp;", ","")&amp;IF(AL213&lt;&gt;0,AL$5&amp;", ","")&amp;IF(AM213&lt;&gt;0,AM$5&amp;", ","")&amp;IF(AN213&lt;&gt;0,AN$5&amp;", ","")&amp;IF(AO213&lt;&gt;0,AO$5&amp;", ","")&amp;IF(AP213&lt;&gt;0,AP$5&amp;", ","")&amp;IF(AQ213&lt;&gt;0,AQ$5&amp;", ","")&amp;IF(AR213&lt;&gt;0,AR$5,"")&amp;IF(AS213&lt;&gt;0,AS$5,"")&amp;IF(AT213&lt;&gt;0,AT$5,"")&amp;IF(AU213&lt;&gt;0,AU$5,"")</f>
        <v xml:space="preserve">LUC, </v>
      </c>
      <c r="L213" s="413" t="str">
        <f t="shared" ref="L213:L218" si="29">IF(M213="","",$M$5&amp;":"&amp;M213&amp;";")&amp;IF(N213="","",$N$5&amp;":"&amp;N213&amp;";")&amp;IF(O213="","",$O$5&amp;":"&amp;O213&amp;";")&amp;IF(P213="","",$P$5&amp;":"&amp;P213&amp;";")&amp;IF(Q213="","",$Q$5&amp;":"&amp;Q213&amp;";")&amp;IF(R213="","",$R$5&amp;":"&amp;R213&amp;";")&amp;IF(S213="","",$S$5&amp;":"&amp;S213&amp;";")&amp;IF(T213="","",$T$5&amp;":"&amp;T213&amp;";")&amp;IF(U213="","",$U$5&amp;":"&amp;U213&amp;";")&amp;IF(V213="","",$V$5&amp;":"&amp;V213&amp;";")&amp;IF(W213="","",$W$5&amp;":"&amp;W213&amp;";")&amp;IF(X213="","",$X$5&amp;":"&amp;X213&amp;";")&amp;IF(Y213="","",$Y$5&amp;":"&amp;Y213&amp;";")&amp;IF(Z213="","",$Z$5&amp;":"&amp;Z213&amp;";")&amp;IF(AA213="","",$AA$5&amp;":"&amp;AA213&amp;";")&amp;IF(AB213="","",$AB$5&amp;":"&amp;AB213&amp;";")&amp;IF(AC213="","",$AC$5&amp;":"&amp;AC213&amp;";")&amp;IF(AD213="","",$AD$5&amp;":"&amp;AD213&amp;";")&amp;IF(AE213="","",$AE$5&amp;":"&amp;AE213&amp;";")&amp;IF(AF213="","",$AF$5&amp;":"&amp;AF213&amp;";")&amp;IF(AG213="","",$AG$5&amp;":"&amp;AG213&amp;";")&amp;IF(AH213="","",$AH$5&amp;":"&amp;AH213&amp;";")&amp;IF(AI213="","",$AI$5&amp;":"&amp;AI213&amp;";")&amp;IF(AJ213="","",$AJ$5&amp;":"&amp;AJ213&amp;";")&amp;IF(AK213="","",$AK$5&amp;":"&amp;AK213&amp;";")&amp;IF(AL213="","",$AL$5&amp;":"&amp;AL213&amp;";")&amp;IF(AM213="","",$AM$5&amp;":"&amp;AM213&amp;";")&amp;IF(AN213="","",$AN$5&amp;":"&amp;AN213&amp;";")&amp;IF(AO213="","",$AO$5&amp;":"&amp;AO213&amp;";")&amp;IF(AP213="","",$AP$5&amp;":"&amp;AP213&amp;";")&amp;IF(AQ213="","",$AQ$5&amp;":"&amp;AQ213&amp;";")&amp;IF(AR213="","",$AR$5&amp;":"&amp;AR213&amp;";")&amp;IF(AS213="","",$AS$5&amp;":"&amp;AS213&amp;";")&amp;IF(AT213="","",$AT$5&amp;":"&amp;AT213&amp;";")&amp;IF(AU213="","",$AU$5&amp;":"&amp;AU213&amp;";")</f>
        <v>LUC:0,03;</v>
      </c>
      <c r="M213" s="339">
        <v>0.03</v>
      </c>
      <c r="N213" s="339"/>
      <c r="O213" s="339"/>
      <c r="P213" s="339"/>
      <c r="Q213" s="339"/>
      <c r="R213" s="339"/>
      <c r="S213" s="339"/>
      <c r="T213" s="339"/>
      <c r="U213" s="339"/>
      <c r="V213" s="339"/>
      <c r="W213" s="339"/>
      <c r="X213" s="339"/>
      <c r="Y213" s="339"/>
      <c r="Z213" s="339"/>
      <c r="AA213" s="339"/>
      <c r="AB213" s="339"/>
      <c r="AC213" s="339"/>
      <c r="AD213" s="339"/>
      <c r="AE213" s="339"/>
      <c r="AF213" s="339"/>
      <c r="AG213" s="339"/>
      <c r="AH213" s="339"/>
      <c r="AI213" s="339"/>
      <c r="AJ213" s="339"/>
      <c r="AK213" s="339"/>
      <c r="AL213" s="339"/>
      <c r="AM213" s="339"/>
      <c r="AN213" s="339"/>
      <c r="AO213" s="339"/>
      <c r="AP213" s="339"/>
      <c r="AQ213" s="339"/>
      <c r="AR213" s="339"/>
      <c r="AS213" s="339"/>
      <c r="AT213" s="339"/>
      <c r="AU213" s="339"/>
      <c r="AV213" s="338" t="s">
        <v>318</v>
      </c>
      <c r="AW213" s="338" t="s">
        <v>318</v>
      </c>
      <c r="AX213" s="351"/>
      <c r="AY213" s="260"/>
      <c r="AZ213" s="181"/>
      <c r="BA213" s="351"/>
      <c r="BB213" s="605" t="s">
        <v>583</v>
      </c>
      <c r="BC213" s="156" t="s">
        <v>267</v>
      </c>
      <c r="BD213" s="156"/>
      <c r="BE213" s="156"/>
      <c r="BF213" s="156" t="s">
        <v>263</v>
      </c>
      <c r="BG213" s="156"/>
      <c r="BH213" s="620" t="s">
        <v>584</v>
      </c>
    </row>
    <row r="214" spans="1:62" ht="42" customHeight="1">
      <c r="A214" s="611"/>
      <c r="B214" s="618"/>
      <c r="C214" s="619"/>
      <c r="D214" s="612"/>
      <c r="E214" s="612"/>
      <c r="F214" s="612"/>
      <c r="G214" s="414">
        <f t="shared" si="27"/>
        <v>0.03</v>
      </c>
      <c r="H214" s="413" t="s">
        <v>5</v>
      </c>
      <c r="I214" s="413" t="s">
        <v>7</v>
      </c>
      <c r="J214" s="413"/>
      <c r="K214" s="413" t="str">
        <f t="shared" si="28"/>
        <v xml:space="preserve">LUC, </v>
      </c>
      <c r="L214" s="413" t="str">
        <f t="shared" si="29"/>
        <v>LUC:0,03;</v>
      </c>
      <c r="M214" s="339">
        <v>0.03</v>
      </c>
      <c r="N214" s="339"/>
      <c r="O214" s="339"/>
      <c r="P214" s="339"/>
      <c r="Q214" s="339"/>
      <c r="R214" s="339"/>
      <c r="S214" s="339"/>
      <c r="T214" s="339"/>
      <c r="U214" s="339"/>
      <c r="V214" s="339"/>
      <c r="W214" s="339"/>
      <c r="X214" s="339"/>
      <c r="Y214" s="339"/>
      <c r="Z214" s="339"/>
      <c r="AA214" s="339"/>
      <c r="AB214" s="339"/>
      <c r="AC214" s="339"/>
      <c r="AD214" s="339"/>
      <c r="AE214" s="339"/>
      <c r="AF214" s="339"/>
      <c r="AG214" s="339"/>
      <c r="AH214" s="339"/>
      <c r="AI214" s="339"/>
      <c r="AJ214" s="339"/>
      <c r="AK214" s="339"/>
      <c r="AL214" s="339"/>
      <c r="AM214" s="339"/>
      <c r="AN214" s="339"/>
      <c r="AO214" s="339"/>
      <c r="AP214" s="339"/>
      <c r="AQ214" s="339"/>
      <c r="AR214" s="339"/>
      <c r="AS214" s="339"/>
      <c r="AT214" s="339"/>
      <c r="AU214" s="339"/>
      <c r="AV214" s="338" t="s">
        <v>286</v>
      </c>
      <c r="AW214" s="338" t="s">
        <v>286</v>
      </c>
      <c r="AX214" s="351"/>
      <c r="AY214" s="260"/>
      <c r="AZ214" s="181"/>
      <c r="BA214" s="351"/>
      <c r="BB214" s="605"/>
      <c r="BC214" s="156"/>
      <c r="BD214" s="156"/>
      <c r="BE214" s="156"/>
      <c r="BF214" s="156" t="s">
        <v>263</v>
      </c>
      <c r="BG214" s="156"/>
      <c r="BH214" s="621"/>
    </row>
    <row r="215" spans="1:62" ht="42" customHeight="1">
      <c r="A215" s="611"/>
      <c r="B215" s="618"/>
      <c r="C215" s="619"/>
      <c r="D215" s="612"/>
      <c r="E215" s="612"/>
      <c r="F215" s="612"/>
      <c r="G215" s="414">
        <f t="shared" si="27"/>
        <v>0.04</v>
      </c>
      <c r="H215" s="413" t="s">
        <v>5</v>
      </c>
      <c r="I215" s="413" t="s">
        <v>7</v>
      </c>
      <c r="J215" s="413"/>
      <c r="K215" s="413" t="str">
        <f t="shared" si="28"/>
        <v xml:space="preserve">LUC, </v>
      </c>
      <c r="L215" s="413" t="str">
        <f t="shared" si="29"/>
        <v>LUC:0,04;</v>
      </c>
      <c r="M215" s="339">
        <v>0.04</v>
      </c>
      <c r="N215" s="339"/>
      <c r="O215" s="339"/>
      <c r="P215" s="339"/>
      <c r="Q215" s="339"/>
      <c r="R215" s="339"/>
      <c r="S215" s="339"/>
      <c r="T215" s="339"/>
      <c r="U215" s="339"/>
      <c r="V215" s="339"/>
      <c r="W215" s="339"/>
      <c r="X215" s="339"/>
      <c r="Y215" s="339"/>
      <c r="Z215" s="339"/>
      <c r="AA215" s="339"/>
      <c r="AB215" s="339"/>
      <c r="AC215" s="339"/>
      <c r="AD215" s="339"/>
      <c r="AE215" s="339"/>
      <c r="AF215" s="339"/>
      <c r="AG215" s="339"/>
      <c r="AH215" s="339"/>
      <c r="AI215" s="339"/>
      <c r="AJ215" s="339"/>
      <c r="AK215" s="339"/>
      <c r="AL215" s="339"/>
      <c r="AM215" s="339"/>
      <c r="AN215" s="339"/>
      <c r="AO215" s="339"/>
      <c r="AP215" s="339"/>
      <c r="AQ215" s="339"/>
      <c r="AR215" s="339"/>
      <c r="AS215" s="339"/>
      <c r="AT215" s="339"/>
      <c r="AU215" s="339"/>
      <c r="AV215" s="338" t="s">
        <v>300</v>
      </c>
      <c r="AW215" s="338" t="s">
        <v>300</v>
      </c>
      <c r="AX215" s="351"/>
      <c r="AY215" s="260"/>
      <c r="AZ215" s="181"/>
      <c r="BA215" s="351"/>
      <c r="BB215" s="605"/>
      <c r="BC215" s="156"/>
      <c r="BD215" s="156"/>
      <c r="BE215" s="156"/>
      <c r="BF215" s="156" t="s">
        <v>263</v>
      </c>
      <c r="BG215" s="156"/>
      <c r="BH215" s="621"/>
    </row>
    <row r="216" spans="1:62" ht="42" customHeight="1">
      <c r="A216" s="611"/>
      <c r="B216" s="618"/>
      <c r="C216" s="619"/>
      <c r="D216" s="612"/>
      <c r="E216" s="612"/>
      <c r="F216" s="612"/>
      <c r="G216" s="414">
        <f t="shared" si="27"/>
        <v>0.04</v>
      </c>
      <c r="H216" s="413" t="s">
        <v>5</v>
      </c>
      <c r="I216" s="413" t="s">
        <v>7</v>
      </c>
      <c r="J216" s="413"/>
      <c r="K216" s="413" t="str">
        <f t="shared" si="28"/>
        <v xml:space="preserve">LUC, </v>
      </c>
      <c r="L216" s="413" t="str">
        <f t="shared" si="29"/>
        <v>LUC:0,04;</v>
      </c>
      <c r="M216" s="339">
        <v>0.04</v>
      </c>
      <c r="N216" s="339"/>
      <c r="O216" s="339"/>
      <c r="P216" s="339"/>
      <c r="Q216" s="339"/>
      <c r="R216" s="339"/>
      <c r="S216" s="339"/>
      <c r="T216" s="339"/>
      <c r="U216" s="339"/>
      <c r="V216" s="339"/>
      <c r="W216" s="339"/>
      <c r="X216" s="339"/>
      <c r="Y216" s="339"/>
      <c r="Z216" s="339"/>
      <c r="AA216" s="339"/>
      <c r="AB216" s="339"/>
      <c r="AC216" s="339"/>
      <c r="AD216" s="339"/>
      <c r="AE216" s="339"/>
      <c r="AF216" s="339"/>
      <c r="AG216" s="339"/>
      <c r="AH216" s="339"/>
      <c r="AI216" s="339"/>
      <c r="AJ216" s="339"/>
      <c r="AK216" s="339"/>
      <c r="AL216" s="339"/>
      <c r="AM216" s="339"/>
      <c r="AN216" s="339"/>
      <c r="AO216" s="339"/>
      <c r="AP216" s="339"/>
      <c r="AQ216" s="339"/>
      <c r="AR216" s="339"/>
      <c r="AS216" s="339"/>
      <c r="AT216" s="339"/>
      <c r="AU216" s="339"/>
      <c r="AV216" s="338" t="s">
        <v>258</v>
      </c>
      <c r="AW216" s="338" t="s">
        <v>258</v>
      </c>
      <c r="AX216" s="351"/>
      <c r="AY216" s="260"/>
      <c r="AZ216" s="181"/>
      <c r="BA216" s="351"/>
      <c r="BB216" s="605"/>
      <c r="BC216" s="156"/>
      <c r="BD216" s="156"/>
      <c r="BE216" s="156"/>
      <c r="BF216" s="156" t="s">
        <v>263</v>
      </c>
      <c r="BG216" s="156"/>
      <c r="BH216" s="621"/>
    </row>
    <row r="217" spans="1:62" ht="42" customHeight="1">
      <c r="A217" s="611"/>
      <c r="B217" s="618"/>
      <c r="C217" s="619"/>
      <c r="D217" s="612"/>
      <c r="E217" s="612"/>
      <c r="F217" s="612"/>
      <c r="G217" s="414">
        <f t="shared" si="27"/>
        <v>0.03</v>
      </c>
      <c r="H217" s="413" t="s">
        <v>5</v>
      </c>
      <c r="I217" s="413" t="s">
        <v>7</v>
      </c>
      <c r="J217" s="413"/>
      <c r="K217" s="413" t="str">
        <f t="shared" si="28"/>
        <v xml:space="preserve">LUC, </v>
      </c>
      <c r="L217" s="413" t="str">
        <f t="shared" si="29"/>
        <v>LUC:0,03;</v>
      </c>
      <c r="M217" s="339">
        <v>0.03</v>
      </c>
      <c r="N217" s="339"/>
      <c r="O217" s="339"/>
      <c r="P217" s="339"/>
      <c r="Q217" s="339"/>
      <c r="R217" s="339"/>
      <c r="S217" s="339"/>
      <c r="T217" s="339"/>
      <c r="U217" s="339"/>
      <c r="V217" s="339"/>
      <c r="W217" s="339"/>
      <c r="X217" s="339"/>
      <c r="Y217" s="339"/>
      <c r="Z217" s="339"/>
      <c r="AA217" s="339"/>
      <c r="AB217" s="339"/>
      <c r="AC217" s="339"/>
      <c r="AD217" s="339"/>
      <c r="AE217" s="339"/>
      <c r="AF217" s="339"/>
      <c r="AG217" s="339"/>
      <c r="AH217" s="339"/>
      <c r="AI217" s="339"/>
      <c r="AJ217" s="339"/>
      <c r="AK217" s="339"/>
      <c r="AL217" s="339"/>
      <c r="AM217" s="339"/>
      <c r="AN217" s="339"/>
      <c r="AO217" s="339"/>
      <c r="AP217" s="339"/>
      <c r="AQ217" s="339"/>
      <c r="AR217" s="339"/>
      <c r="AS217" s="339"/>
      <c r="AT217" s="339"/>
      <c r="AU217" s="339"/>
      <c r="AV217" s="338" t="s">
        <v>217</v>
      </c>
      <c r="AW217" s="338" t="s">
        <v>217</v>
      </c>
      <c r="AX217" s="351"/>
      <c r="AY217" s="260"/>
      <c r="AZ217" s="181"/>
      <c r="BA217" s="351"/>
      <c r="BB217" s="605"/>
      <c r="BC217" s="156"/>
      <c r="BD217" s="156"/>
      <c r="BE217" s="156"/>
      <c r="BF217" s="156" t="s">
        <v>263</v>
      </c>
      <c r="BG217" s="156"/>
      <c r="BH217" s="622"/>
    </row>
    <row r="218" spans="1:62" ht="70.5" customHeight="1">
      <c r="A218" s="344">
        <f>SUBTOTAL(3,C$11:$C218)</f>
        <v>147</v>
      </c>
      <c r="B218" s="337" t="s">
        <v>1308</v>
      </c>
      <c r="C218" s="338" t="s">
        <v>44</v>
      </c>
      <c r="D218" s="339">
        <v>85</v>
      </c>
      <c r="E218" s="339"/>
      <c r="F218" s="339">
        <v>85</v>
      </c>
      <c r="G218" s="414">
        <f t="shared" si="27"/>
        <v>85</v>
      </c>
      <c r="H218" s="413" t="s">
        <v>1066</v>
      </c>
      <c r="I218" s="413" t="s">
        <v>1309</v>
      </c>
      <c r="J218" s="413" t="s">
        <v>1056</v>
      </c>
      <c r="K218" s="413" t="str">
        <f t="shared" si="28"/>
        <v xml:space="preserve">HNK, CLN, NTS, SKK, DGT, NTD, ONT, SON, </v>
      </c>
      <c r="L218" s="413" t="str">
        <f t="shared" si="29"/>
        <v>HNK:0,59;CLN:1,08;NTS:32,41;SKK:42,39;DGT:0,87;NTD:0,1;ONT:4,52;SON:3,04;</v>
      </c>
      <c r="M218" s="339"/>
      <c r="N218" s="339"/>
      <c r="O218" s="339">
        <v>0.59</v>
      </c>
      <c r="P218" s="339">
        <v>1.08</v>
      </c>
      <c r="Q218" s="339">
        <v>32.409999999999997</v>
      </c>
      <c r="R218" s="339"/>
      <c r="S218" s="339">
        <v>42.39</v>
      </c>
      <c r="T218" s="339"/>
      <c r="U218" s="339"/>
      <c r="V218" s="339"/>
      <c r="W218" s="339">
        <v>0.87</v>
      </c>
      <c r="X218" s="339"/>
      <c r="Y218" s="339"/>
      <c r="Z218" s="339"/>
      <c r="AA218" s="339"/>
      <c r="AB218" s="339"/>
      <c r="AC218" s="339"/>
      <c r="AD218" s="339"/>
      <c r="AE218" s="339"/>
      <c r="AF218" s="339"/>
      <c r="AG218" s="339"/>
      <c r="AH218" s="339">
        <v>0.1</v>
      </c>
      <c r="AI218" s="339"/>
      <c r="AJ218" s="339"/>
      <c r="AK218" s="339"/>
      <c r="AL218" s="339">
        <v>4.5199999999999996</v>
      </c>
      <c r="AM218" s="339"/>
      <c r="AN218" s="339"/>
      <c r="AO218" s="339"/>
      <c r="AP218" s="339"/>
      <c r="AQ218" s="339">
        <v>3.04</v>
      </c>
      <c r="AR218" s="339"/>
      <c r="AS218" s="339"/>
      <c r="AT218" s="339"/>
      <c r="AU218" s="339"/>
      <c r="AV218" s="338" t="s">
        <v>292</v>
      </c>
      <c r="AW218" s="338" t="s">
        <v>292</v>
      </c>
      <c r="AX218" s="351" t="s">
        <v>585</v>
      </c>
      <c r="AY218" s="260" t="s">
        <v>585</v>
      </c>
      <c r="AZ218" s="181" t="s">
        <v>1310</v>
      </c>
      <c r="BA218" s="351" t="s">
        <v>586</v>
      </c>
      <c r="BB218" s="351"/>
      <c r="BC218" s="156" t="s">
        <v>316</v>
      </c>
      <c r="BD218" s="156"/>
      <c r="BE218" s="156"/>
      <c r="BF218" s="156"/>
      <c r="BG218" s="156" t="s">
        <v>263</v>
      </c>
      <c r="BH218" s="351"/>
    </row>
    <row r="219" spans="1:62" ht="62.25" customHeight="1">
      <c r="A219" s="611">
        <f>SUBTOTAL(3,C$11:$C219)</f>
        <v>148</v>
      </c>
      <c r="B219" s="618" t="s">
        <v>587</v>
      </c>
      <c r="C219" s="619" t="s">
        <v>44</v>
      </c>
      <c r="D219" s="612">
        <v>3.27E-2</v>
      </c>
      <c r="E219" s="612"/>
      <c r="F219" s="612">
        <v>3.27E-2</v>
      </c>
      <c r="G219" s="414"/>
      <c r="H219" s="413" t="s">
        <v>5</v>
      </c>
      <c r="I219" s="413"/>
      <c r="J219" s="413"/>
      <c r="K219" s="413"/>
      <c r="L219" s="413"/>
      <c r="M219" s="339"/>
      <c r="N219" s="339"/>
      <c r="O219" s="339"/>
      <c r="P219" s="339"/>
      <c r="Q219" s="339"/>
      <c r="R219" s="339"/>
      <c r="S219" s="339"/>
      <c r="T219" s="339"/>
      <c r="U219" s="339"/>
      <c r="V219" s="339"/>
      <c r="W219" s="339"/>
      <c r="X219" s="339"/>
      <c r="Y219" s="339"/>
      <c r="Z219" s="339"/>
      <c r="AA219" s="339"/>
      <c r="AB219" s="339"/>
      <c r="AC219" s="339"/>
      <c r="AD219" s="339"/>
      <c r="AE219" s="339"/>
      <c r="AF219" s="339"/>
      <c r="AG219" s="339"/>
      <c r="AH219" s="339"/>
      <c r="AI219" s="339"/>
      <c r="AJ219" s="339"/>
      <c r="AK219" s="339"/>
      <c r="AL219" s="339"/>
      <c r="AM219" s="339"/>
      <c r="AN219" s="339"/>
      <c r="AO219" s="339"/>
      <c r="AP219" s="339"/>
      <c r="AQ219" s="339"/>
      <c r="AR219" s="339"/>
      <c r="AS219" s="339"/>
      <c r="AT219" s="339"/>
      <c r="AU219" s="339"/>
      <c r="AV219" s="338" t="s">
        <v>1311</v>
      </c>
      <c r="AW219" s="338"/>
      <c r="AX219" s="351"/>
      <c r="AY219" s="260"/>
      <c r="AZ219" s="181"/>
      <c r="BA219" s="351"/>
      <c r="BB219" s="351"/>
      <c r="BC219" s="156"/>
      <c r="BD219" s="156"/>
      <c r="BE219" s="156"/>
      <c r="BF219" s="156"/>
      <c r="BG219" s="156"/>
      <c r="BH219" s="358"/>
    </row>
    <row r="220" spans="1:62" ht="42" customHeight="1">
      <c r="A220" s="611"/>
      <c r="B220" s="618"/>
      <c r="C220" s="619"/>
      <c r="D220" s="612"/>
      <c r="E220" s="612"/>
      <c r="F220" s="612"/>
      <c r="G220" s="414">
        <f>SUM(M220:AR220)</f>
        <v>1.7999999999999999E-2</v>
      </c>
      <c r="H220" s="413" t="s">
        <v>5</v>
      </c>
      <c r="I220" s="413" t="s">
        <v>7</v>
      </c>
      <c r="J220" s="413"/>
      <c r="K220" s="413" t="str">
        <f>IF(M220&lt;&gt;0,'[1]Đã thực hiện'!$L$5&amp;", ","")&amp;IF(N220&lt;&gt;0,'[1]Đã thực hiện'!$M$5&amp;", ","")&amp;IF(O220&lt;&gt;0,'[1]Đã thực hiện'!N$5&amp;", ","")&amp;IF(P220&lt;&gt;0,'[1]Đã thực hiện'!O$5&amp;", ","")&amp;IF(Q220&lt;&gt;0,'[1]Đã thực hiện'!P$5&amp;", ","")&amp;IF(R220&lt;&gt;0,'[1]Đã thực hiện'!Q$5&amp;", ","")&amp;IF(S220&lt;&gt;0,'[1]Đã thực hiện'!R$5&amp;", ","")&amp;IF(T220&lt;&gt;0,'[1]Đã thực hiện'!S$5&amp;", ","")&amp;IF(U220&lt;&gt;0,'[1]Đã thực hiện'!T$5&amp;", ","")&amp;IF(V220&lt;&gt;0,'[1]Đã thực hiện'!U$5&amp;", ","")&amp;IF(W220&lt;&gt;0,'[1]Đã thực hiện'!V$5&amp;", ","")&amp;IF(X220&lt;&gt;0,'[1]Đã thực hiện'!W$5&amp;", ","")&amp;IF(Y220&lt;&gt;0,'[1]Đã thực hiện'!X$5&amp;", ","")&amp;IF(Z220&lt;&gt;0,'[1]Đã thực hiện'!Y$5&amp;", ","")&amp;IF(AA220&lt;&gt;0,'[1]Đã thực hiện'!Z$5&amp;", ","")&amp;IF(AB220&lt;&gt;0,'[1]Đã thực hiện'!AA$5&amp;", ","")&amp;IF(AC220&lt;&gt;0,'[1]Đã thực hiện'!AB$5&amp;", ","")&amp;IF(AD220&lt;&gt;0,'[1]Đã thực hiện'!AC$5&amp;", ","")&amp;IF(AE220&lt;&gt;0,'[1]Đã thực hiện'!AD$5&amp;", ","")&amp;IF(AF220&lt;&gt;0,'[1]Đã thực hiện'!AE$5&amp;", ","")&amp;IF(AG220&lt;&gt;0,'[1]Đã thực hiện'!AF$5&amp;", ","")&amp;IF(AH220&lt;&gt;0,'[1]Đã thực hiện'!AG$5&amp;", ","")&amp;IF(AI220&lt;&gt;0,'[1]Đã thực hiện'!AH$5&amp;", ","")&amp;IF(AJ220&lt;&gt;0,'[1]Đã thực hiện'!AI$5&amp;", ","")&amp;IF(AK220&lt;&gt;0,'[1]Đã thực hiện'!AJ$5&amp;", ","")&amp;IF(AL220&lt;&gt;0,'[1]Đã thực hiện'!AK$5&amp;", ","")&amp;IF(AM220&lt;&gt;0,'[1]Đã thực hiện'!AL$5&amp;", ","")&amp;IF(AN220&lt;&gt;0,'[1]Đã thực hiện'!AM$5&amp;", ","")&amp;IF(AO220&lt;&gt;0,'[1]Đã thực hiện'!AN$5&amp;", ","")&amp;IF(AP220&lt;&gt;0,'[1]Đã thực hiện'!AO$5&amp;", ","")&amp;IF(AQ220&lt;&gt;0,'[1]Đã thực hiện'!AP$5&amp;", ","")&amp;IF(AR220&lt;&gt;0,'[1]Đã thực hiện'!AQ$5,"")&amp;IF(AS220&lt;&gt;0,'[1]Đã thực hiện'!AR$5,"")&amp;IF(AT220&lt;&gt;0,'[1]Đã thực hiện'!AS$5,"")&amp;IF(AU220&lt;&gt;0,'[1]Đã thực hiện'!AT$5,"")</f>
        <v xml:space="preserve">LUC, </v>
      </c>
      <c r="L220" s="413" t="str">
        <f>IF(M220="","",'[1]Đã thực hiện'!$L$5&amp;":"&amp;M220&amp;";")&amp;IF(N220="","",'[1]Đã thực hiện'!$M$5&amp;":"&amp;N220&amp;";")&amp;IF(O220="","",'[1]Đã thực hiện'!$N$5&amp;":"&amp;O220&amp;";")&amp;IF(P220="","",'[1]Đã thực hiện'!$O$5&amp;":"&amp;P220&amp;";")&amp;IF(Q220="","",'[1]Đã thực hiện'!$P$5&amp;":"&amp;Q220&amp;";")&amp;IF(R220="","",'[1]Đã thực hiện'!$Q$5&amp;":"&amp;R220&amp;";")&amp;IF(S220="","",'[1]Đã thực hiện'!$R$5&amp;":"&amp;S220&amp;";")&amp;IF(T220="","",'[1]Đã thực hiện'!$S$5&amp;":"&amp;T220&amp;";")&amp;IF(U220="","",'[1]Đã thực hiện'!$T$5&amp;":"&amp;U220&amp;";")&amp;IF(V220="","",'[1]Đã thực hiện'!$U$5&amp;":"&amp;V220&amp;";")&amp;IF(W220="","",'[1]Đã thực hiện'!$V$5&amp;":"&amp;W220&amp;";")&amp;IF(X220="","",'[1]Đã thực hiện'!$W$5&amp;":"&amp;X220&amp;";")&amp;IF(Y220="","",'[1]Đã thực hiện'!$X$5&amp;":"&amp;Y220&amp;";")&amp;IF(Z220="","",'[1]Đã thực hiện'!$Y$5&amp;":"&amp;Z220&amp;";")&amp;IF(AA220="","",'[1]Đã thực hiện'!$Z$5&amp;":"&amp;AA220&amp;";")&amp;IF(AB220="","",'[1]Đã thực hiện'!$AA$5&amp;":"&amp;AB220&amp;";")&amp;IF(AC220="","",'[1]Đã thực hiện'!$AB$5&amp;":"&amp;AC220&amp;";")&amp;IF(AD220="","",'[1]Đã thực hiện'!$AC$5&amp;":"&amp;AD220&amp;";")&amp;IF(AE220="","",'[1]Đã thực hiện'!$AD$5&amp;":"&amp;AE220&amp;";")&amp;IF(AF220="","",'[1]Đã thực hiện'!$AE$5&amp;":"&amp;AF220&amp;";")&amp;IF(AG220="","",'[1]Đã thực hiện'!$AF$5&amp;":"&amp;AG220&amp;";")&amp;IF(AH220="","",'[1]Đã thực hiện'!$AG$5&amp;":"&amp;AH220&amp;";")&amp;IF(AI220="","",'[1]Đã thực hiện'!$AH$5&amp;":"&amp;AI220&amp;";")&amp;IF(AJ220="","",'[1]Đã thực hiện'!$AI$5&amp;":"&amp;AJ220&amp;";")&amp;IF(AK220="","",'[1]Đã thực hiện'!$AJ$5&amp;":"&amp;AK220&amp;";")&amp;IF(AL220="","",'[1]Đã thực hiện'!$AK$5&amp;":"&amp;AL220&amp;";")&amp;IF(AM220="","",'[1]Đã thực hiện'!$AL$5&amp;":"&amp;AM220&amp;";")&amp;IF(AN220="","",'[1]Đã thực hiện'!$AM$5&amp;":"&amp;AN220&amp;";")&amp;IF(AO220="","",'[1]Đã thực hiện'!$AN$5&amp;":"&amp;AO220&amp;";")&amp;IF(AP220="","",'[1]Đã thực hiện'!$AO$5&amp;":"&amp;AP220&amp;";")&amp;IF(AQ220="","",'[1]Đã thực hiện'!$AP$5&amp;":"&amp;AQ220&amp;";")&amp;IF(AR220="","",'[1]Đã thực hiện'!$AQ$5&amp;":"&amp;AR220&amp;";")&amp;IF(AS220="","",'[1]Đã thực hiện'!$AR$5&amp;":"&amp;AS220&amp;";")&amp;IF(AT220="","",'[1]Đã thực hiện'!$AS$5&amp;":"&amp;AT220&amp;";")&amp;IF(AU220="","",'[1]Đã thực hiện'!$AT$5&amp;":"&amp;AU220&amp;";")</f>
        <v>LUC:0,018;</v>
      </c>
      <c r="M220" s="339">
        <v>1.7999999999999999E-2</v>
      </c>
      <c r="N220" s="339"/>
      <c r="O220" s="339"/>
      <c r="P220" s="339"/>
      <c r="Q220" s="339"/>
      <c r="R220" s="339"/>
      <c r="S220" s="339"/>
      <c r="T220" s="339"/>
      <c r="U220" s="339"/>
      <c r="V220" s="339"/>
      <c r="W220" s="339"/>
      <c r="X220" s="339"/>
      <c r="Y220" s="339"/>
      <c r="Z220" s="339"/>
      <c r="AA220" s="339"/>
      <c r="AB220" s="339"/>
      <c r="AC220" s="339"/>
      <c r="AD220" s="339"/>
      <c r="AE220" s="339"/>
      <c r="AF220" s="339"/>
      <c r="AG220" s="339"/>
      <c r="AH220" s="339"/>
      <c r="AI220" s="339"/>
      <c r="AJ220" s="339"/>
      <c r="AK220" s="339"/>
      <c r="AL220" s="339"/>
      <c r="AM220" s="339"/>
      <c r="AN220" s="339"/>
      <c r="AO220" s="339"/>
      <c r="AP220" s="339"/>
      <c r="AQ220" s="339"/>
      <c r="AR220" s="339"/>
      <c r="AS220" s="339"/>
      <c r="AT220" s="339"/>
      <c r="AU220" s="339"/>
      <c r="AV220" s="338" t="s">
        <v>588</v>
      </c>
      <c r="AW220" s="338" t="s">
        <v>588</v>
      </c>
      <c r="AX220" s="351"/>
      <c r="AY220" s="260"/>
      <c r="AZ220" s="181"/>
      <c r="BA220" s="351"/>
      <c r="BB220" s="605" t="s">
        <v>333</v>
      </c>
      <c r="BC220" s="156" t="s">
        <v>267</v>
      </c>
      <c r="BD220" s="156" t="s">
        <v>263</v>
      </c>
      <c r="BE220" s="156"/>
      <c r="BF220" s="156"/>
      <c r="BG220" s="156"/>
      <c r="BH220" s="620" t="s">
        <v>589</v>
      </c>
    </row>
    <row r="221" spans="1:62" ht="42" customHeight="1">
      <c r="A221" s="611"/>
      <c r="B221" s="618"/>
      <c r="C221" s="619"/>
      <c r="D221" s="612"/>
      <c r="E221" s="612"/>
      <c r="F221" s="612"/>
      <c r="G221" s="414">
        <f>SUM(M221:AR221)</f>
        <v>1.2E-2</v>
      </c>
      <c r="H221" s="413" t="s">
        <v>8</v>
      </c>
      <c r="I221" s="413" t="s">
        <v>8</v>
      </c>
      <c r="J221" s="413"/>
      <c r="K221" s="413" t="str">
        <f>IF(M221&lt;&gt;0,'[1]Đã thực hiện'!$L$5&amp;", ","")&amp;IF(N221&lt;&gt;0,'[1]Đã thực hiện'!$M$5&amp;", ","")&amp;IF(O221&lt;&gt;0,'[1]Đã thực hiện'!N$5&amp;", ","")&amp;IF(P221&lt;&gt;0,'[1]Đã thực hiện'!O$5&amp;", ","")&amp;IF(Q221&lt;&gt;0,'[1]Đã thực hiện'!P$5&amp;", ","")&amp;IF(R221&lt;&gt;0,'[1]Đã thực hiện'!Q$5&amp;", ","")&amp;IF(S221&lt;&gt;0,'[1]Đã thực hiện'!R$5&amp;", ","")&amp;IF(T221&lt;&gt;0,'[1]Đã thực hiện'!S$5&amp;", ","")&amp;IF(U221&lt;&gt;0,'[1]Đã thực hiện'!T$5&amp;", ","")&amp;IF(V221&lt;&gt;0,'[1]Đã thực hiện'!U$5&amp;", ","")&amp;IF(W221&lt;&gt;0,'[1]Đã thực hiện'!V$5&amp;", ","")&amp;IF(X221&lt;&gt;0,'[1]Đã thực hiện'!W$5&amp;", ","")&amp;IF(Y221&lt;&gt;0,'[1]Đã thực hiện'!X$5&amp;", ","")&amp;IF(Z221&lt;&gt;0,'[1]Đã thực hiện'!Y$5&amp;", ","")&amp;IF(AA221&lt;&gt;0,'[1]Đã thực hiện'!Z$5&amp;", ","")&amp;IF(AB221&lt;&gt;0,'[1]Đã thực hiện'!AA$5&amp;", ","")&amp;IF(AC221&lt;&gt;0,'[1]Đã thực hiện'!AB$5&amp;", ","")&amp;IF(AD221&lt;&gt;0,'[1]Đã thực hiện'!AC$5&amp;", ","")&amp;IF(AE221&lt;&gt;0,'[1]Đã thực hiện'!AD$5&amp;", ","")&amp;IF(AF221&lt;&gt;0,'[1]Đã thực hiện'!AE$5&amp;", ","")&amp;IF(AG221&lt;&gt;0,'[1]Đã thực hiện'!AF$5&amp;", ","")&amp;IF(AH221&lt;&gt;0,'[1]Đã thực hiện'!AG$5&amp;", ","")&amp;IF(AI221&lt;&gt;0,'[1]Đã thực hiện'!AH$5&amp;", ","")&amp;IF(AJ221&lt;&gt;0,'[1]Đã thực hiện'!AI$5&amp;", ","")&amp;IF(AK221&lt;&gt;0,'[1]Đã thực hiện'!AJ$5&amp;", ","")&amp;IF(AL221&lt;&gt;0,'[1]Đã thực hiện'!AK$5&amp;", ","")&amp;IF(AM221&lt;&gt;0,'[1]Đã thực hiện'!AL$5&amp;", ","")&amp;IF(AN221&lt;&gt;0,'[1]Đã thực hiện'!AM$5&amp;", ","")&amp;IF(AO221&lt;&gt;0,'[1]Đã thực hiện'!AN$5&amp;", ","")&amp;IF(AP221&lt;&gt;0,'[1]Đã thực hiện'!AO$5&amp;", ","")&amp;IF(AQ221&lt;&gt;0,'[1]Đã thực hiện'!AP$5&amp;", ","")&amp;IF(AR221&lt;&gt;0,'[1]Đã thực hiện'!AQ$5,"")&amp;IF(AS221&lt;&gt;0,'[1]Đã thực hiện'!AR$5,"")&amp;IF(AT221&lt;&gt;0,'[1]Đã thực hiện'!AS$5,"")&amp;IF(AU221&lt;&gt;0,'[1]Đã thực hiện'!AT$5,"")</f>
        <v xml:space="preserve">LUK, </v>
      </c>
      <c r="L221" s="413" t="str">
        <f>IF(M221="","",'[1]Đã thực hiện'!$L$5&amp;":"&amp;M221&amp;";")&amp;IF(N221="","",'[1]Đã thực hiện'!$M$5&amp;":"&amp;N221&amp;";")&amp;IF(O221="","",'[1]Đã thực hiện'!$N$5&amp;":"&amp;O221&amp;";")&amp;IF(P221="","",'[1]Đã thực hiện'!$O$5&amp;":"&amp;P221&amp;";")&amp;IF(Q221="","",'[1]Đã thực hiện'!$P$5&amp;":"&amp;Q221&amp;";")&amp;IF(R221="","",'[1]Đã thực hiện'!$Q$5&amp;":"&amp;R221&amp;";")&amp;IF(S221="","",'[1]Đã thực hiện'!$R$5&amp;":"&amp;S221&amp;";")&amp;IF(T221="","",'[1]Đã thực hiện'!$S$5&amp;":"&amp;T221&amp;";")&amp;IF(U221="","",'[1]Đã thực hiện'!$T$5&amp;":"&amp;U221&amp;";")&amp;IF(V221="","",'[1]Đã thực hiện'!$U$5&amp;":"&amp;V221&amp;";")&amp;IF(W221="","",'[1]Đã thực hiện'!$V$5&amp;":"&amp;W221&amp;";")&amp;IF(X221="","",'[1]Đã thực hiện'!$W$5&amp;":"&amp;X221&amp;";")&amp;IF(Y221="","",'[1]Đã thực hiện'!$X$5&amp;":"&amp;Y221&amp;";")&amp;IF(Z221="","",'[1]Đã thực hiện'!$Y$5&amp;":"&amp;Z221&amp;";")&amp;IF(AA221="","",'[1]Đã thực hiện'!$Z$5&amp;":"&amp;AA221&amp;";")&amp;IF(AB221="","",'[1]Đã thực hiện'!$AA$5&amp;":"&amp;AB221&amp;";")&amp;IF(AC221="","",'[1]Đã thực hiện'!$AB$5&amp;":"&amp;AC221&amp;";")&amp;IF(AD221="","",'[1]Đã thực hiện'!$AC$5&amp;":"&amp;AD221&amp;";")&amp;IF(AE221="","",'[1]Đã thực hiện'!$AD$5&amp;":"&amp;AE221&amp;";")&amp;IF(AF221="","",'[1]Đã thực hiện'!$AE$5&amp;":"&amp;AF221&amp;";")&amp;IF(AG221="","",'[1]Đã thực hiện'!$AF$5&amp;":"&amp;AG221&amp;";")&amp;IF(AH221="","",'[1]Đã thực hiện'!$AG$5&amp;":"&amp;AH221&amp;";")&amp;IF(AI221="","",'[1]Đã thực hiện'!$AH$5&amp;":"&amp;AI221&amp;";")&amp;IF(AJ221="","",'[1]Đã thực hiện'!$AI$5&amp;":"&amp;AJ221&amp;";")&amp;IF(AK221="","",'[1]Đã thực hiện'!$AJ$5&amp;":"&amp;AK221&amp;";")&amp;IF(AL221="","",'[1]Đã thực hiện'!$AK$5&amp;":"&amp;AL221&amp;";")&amp;IF(AM221="","",'[1]Đã thực hiện'!$AL$5&amp;":"&amp;AM221&amp;";")&amp;IF(AN221="","",'[1]Đã thực hiện'!$AM$5&amp;":"&amp;AN221&amp;";")&amp;IF(AO221="","",'[1]Đã thực hiện'!$AN$5&amp;":"&amp;AO221&amp;";")&amp;IF(AP221="","",'[1]Đã thực hiện'!$AO$5&amp;":"&amp;AP221&amp;";")&amp;IF(AQ221="","",'[1]Đã thực hiện'!$AP$5&amp;":"&amp;AQ221&amp;";")&amp;IF(AR221="","",'[1]Đã thực hiện'!$AQ$5&amp;":"&amp;AR221&amp;";")&amp;IF(AS221="","",'[1]Đã thực hiện'!$AR$5&amp;":"&amp;AS221&amp;";")&amp;IF(AT221="","",'[1]Đã thực hiện'!$AS$5&amp;":"&amp;AT221&amp;";")&amp;IF(AU221="","",'[1]Đã thực hiện'!$AT$5&amp;":"&amp;AU221&amp;";")</f>
        <v>LUK:0,012;</v>
      </c>
      <c r="M221" s="339"/>
      <c r="N221" s="339">
        <v>1.2E-2</v>
      </c>
      <c r="O221" s="339"/>
      <c r="P221" s="339"/>
      <c r="Q221" s="339"/>
      <c r="R221" s="339"/>
      <c r="S221" s="339"/>
      <c r="T221" s="339"/>
      <c r="U221" s="339"/>
      <c r="V221" s="339"/>
      <c r="W221" s="339"/>
      <c r="X221" s="339"/>
      <c r="Y221" s="339"/>
      <c r="Z221" s="339"/>
      <c r="AA221" s="339"/>
      <c r="AB221" s="339"/>
      <c r="AC221" s="339"/>
      <c r="AD221" s="339"/>
      <c r="AE221" s="339"/>
      <c r="AF221" s="339"/>
      <c r="AG221" s="339"/>
      <c r="AH221" s="339"/>
      <c r="AI221" s="339"/>
      <c r="AJ221" s="339"/>
      <c r="AK221" s="339"/>
      <c r="AL221" s="339"/>
      <c r="AM221" s="339"/>
      <c r="AN221" s="339"/>
      <c r="AO221" s="339"/>
      <c r="AP221" s="339"/>
      <c r="AQ221" s="339"/>
      <c r="AR221" s="339"/>
      <c r="AS221" s="339"/>
      <c r="AT221" s="339"/>
      <c r="AU221" s="339"/>
      <c r="AV221" s="338" t="s">
        <v>292</v>
      </c>
      <c r="AW221" s="338" t="s">
        <v>292</v>
      </c>
      <c r="AX221" s="351"/>
      <c r="AY221" s="260"/>
      <c r="AZ221" s="181"/>
      <c r="BA221" s="351"/>
      <c r="BB221" s="605"/>
      <c r="BC221" s="156"/>
      <c r="BD221" s="156" t="s">
        <v>263</v>
      </c>
      <c r="BE221" s="156"/>
      <c r="BF221" s="156"/>
      <c r="BG221" s="156"/>
      <c r="BH221" s="622"/>
    </row>
    <row r="222" spans="1:62" s="179" customFormat="1" ht="24.65" customHeight="1">
      <c r="A222" s="145"/>
      <c r="B222" s="163" t="s">
        <v>1758</v>
      </c>
      <c r="C222" s="164"/>
      <c r="D222" s="368"/>
      <c r="E222" s="368"/>
      <c r="F222" s="368"/>
      <c r="G222" s="410"/>
      <c r="H222" s="411"/>
      <c r="I222" s="411"/>
      <c r="J222" s="411"/>
      <c r="K222" s="411"/>
      <c r="L222" s="411"/>
      <c r="M222" s="368"/>
      <c r="N222" s="368"/>
      <c r="O222" s="368"/>
      <c r="P222" s="368"/>
      <c r="Q222" s="368"/>
      <c r="R222" s="368"/>
      <c r="S222" s="368"/>
      <c r="T222" s="368"/>
      <c r="U222" s="368"/>
      <c r="V222" s="368"/>
      <c r="W222" s="368"/>
      <c r="X222" s="368"/>
      <c r="Y222" s="368"/>
      <c r="Z222" s="368"/>
      <c r="AA222" s="368"/>
      <c r="AB222" s="368"/>
      <c r="AC222" s="368"/>
      <c r="AD222" s="368"/>
      <c r="AE222" s="368"/>
      <c r="AF222" s="368"/>
      <c r="AG222" s="368"/>
      <c r="AH222" s="368"/>
      <c r="AI222" s="368"/>
      <c r="AJ222" s="368"/>
      <c r="AK222" s="368"/>
      <c r="AL222" s="368"/>
      <c r="AM222" s="368"/>
      <c r="AN222" s="368"/>
      <c r="AO222" s="368"/>
      <c r="AP222" s="368"/>
      <c r="AQ222" s="368"/>
      <c r="AR222" s="368"/>
      <c r="AS222" s="368"/>
      <c r="AT222" s="368"/>
      <c r="AU222" s="368"/>
      <c r="AV222" s="368"/>
      <c r="AW222" s="368"/>
      <c r="AX222" s="368"/>
      <c r="AY222" s="257"/>
      <c r="AZ222" s="178"/>
      <c r="BA222" s="368"/>
      <c r="BB222" s="368"/>
      <c r="BC222" s="165"/>
      <c r="BD222" s="165"/>
      <c r="BE222" s="165"/>
      <c r="BF222" s="165"/>
      <c r="BG222" s="165"/>
      <c r="BH222" s="368"/>
      <c r="BI222" s="412"/>
      <c r="BJ222" s="412"/>
    </row>
    <row r="223" spans="1:62" s="430" customFormat="1" ht="42" customHeight="1">
      <c r="A223" s="444"/>
      <c r="B223" s="492" t="s">
        <v>1905</v>
      </c>
      <c r="C223" s="493" t="s">
        <v>44</v>
      </c>
      <c r="D223" s="446">
        <v>1.1000000000000001</v>
      </c>
      <c r="E223" s="446"/>
      <c r="F223" s="446">
        <v>1.1000000000000001</v>
      </c>
      <c r="G223" s="421"/>
      <c r="H223" s="420"/>
      <c r="I223" s="420"/>
      <c r="J223" s="420"/>
      <c r="K223" s="420"/>
      <c r="L223" s="420"/>
      <c r="M223" s="446"/>
      <c r="N223" s="446"/>
      <c r="O223" s="446"/>
      <c r="P223" s="446"/>
      <c r="Q223" s="446"/>
      <c r="R223" s="446"/>
      <c r="S223" s="446"/>
      <c r="T223" s="446"/>
      <c r="U223" s="446"/>
      <c r="V223" s="446"/>
      <c r="W223" s="446"/>
      <c r="X223" s="446"/>
      <c r="Y223" s="446"/>
      <c r="Z223" s="446"/>
      <c r="AA223" s="446"/>
      <c r="AB223" s="446"/>
      <c r="AC223" s="446"/>
      <c r="AD223" s="446"/>
      <c r="AE223" s="446"/>
      <c r="AF223" s="446"/>
      <c r="AG223" s="446"/>
      <c r="AH223" s="446"/>
      <c r="AI223" s="446"/>
      <c r="AJ223" s="446"/>
      <c r="AK223" s="446"/>
      <c r="AL223" s="446"/>
      <c r="AM223" s="446"/>
      <c r="AN223" s="446"/>
      <c r="AO223" s="446"/>
      <c r="AP223" s="446"/>
      <c r="AQ223" s="446"/>
      <c r="AR223" s="446"/>
      <c r="AS223" s="446"/>
      <c r="AT223" s="446"/>
      <c r="AU223" s="446"/>
      <c r="AV223" s="422" t="s">
        <v>309</v>
      </c>
      <c r="AW223" s="422" t="str">
        <f>AV223</f>
        <v>Phước Lý</v>
      </c>
      <c r="AX223" s="428"/>
      <c r="AY223" s="447"/>
      <c r="AZ223" s="448"/>
      <c r="BA223" s="447"/>
      <c r="BB223" s="428"/>
      <c r="BC223" s="450"/>
      <c r="BD223" s="450"/>
      <c r="BE223" s="450"/>
      <c r="BF223" s="450"/>
      <c r="BG223" s="450"/>
      <c r="BH223" s="494"/>
      <c r="BI223" s="447" t="s">
        <v>1859</v>
      </c>
      <c r="BJ223" s="429"/>
    </row>
    <row r="224" spans="1:62" s="430" customFormat="1" ht="42" customHeight="1">
      <c r="A224" s="444"/>
      <c r="B224" s="492" t="s">
        <v>1906</v>
      </c>
      <c r="C224" s="493" t="s">
        <v>44</v>
      </c>
      <c r="D224" s="446">
        <v>0.17</v>
      </c>
      <c r="E224" s="446"/>
      <c r="F224" s="446"/>
      <c r="G224" s="421"/>
      <c r="H224" s="420"/>
      <c r="I224" s="420"/>
      <c r="J224" s="420"/>
      <c r="K224" s="420"/>
      <c r="L224" s="420"/>
      <c r="M224" s="446"/>
      <c r="N224" s="446"/>
      <c r="O224" s="446"/>
      <c r="P224" s="446"/>
      <c r="Q224" s="446"/>
      <c r="R224" s="446"/>
      <c r="S224" s="446"/>
      <c r="T224" s="446"/>
      <c r="U224" s="446"/>
      <c r="V224" s="446"/>
      <c r="W224" s="446"/>
      <c r="X224" s="446"/>
      <c r="Y224" s="446"/>
      <c r="Z224" s="446"/>
      <c r="AA224" s="446"/>
      <c r="AB224" s="446"/>
      <c r="AC224" s="446"/>
      <c r="AD224" s="446"/>
      <c r="AE224" s="446"/>
      <c r="AF224" s="446"/>
      <c r="AG224" s="446"/>
      <c r="AH224" s="446"/>
      <c r="AI224" s="446"/>
      <c r="AJ224" s="446"/>
      <c r="AK224" s="446"/>
      <c r="AL224" s="446"/>
      <c r="AM224" s="446"/>
      <c r="AN224" s="446"/>
      <c r="AO224" s="446"/>
      <c r="AP224" s="446"/>
      <c r="AQ224" s="446"/>
      <c r="AR224" s="446"/>
      <c r="AS224" s="446"/>
      <c r="AT224" s="446"/>
      <c r="AU224" s="446"/>
      <c r="AV224" s="422" t="s">
        <v>300</v>
      </c>
      <c r="AW224" s="422"/>
      <c r="AX224" s="428"/>
      <c r="AY224" s="447"/>
      <c r="AZ224" s="448"/>
      <c r="BA224" s="447"/>
      <c r="BB224" s="428"/>
      <c r="BC224" s="450"/>
      <c r="BD224" s="450"/>
      <c r="BE224" s="450"/>
      <c r="BF224" s="450"/>
      <c r="BG224" s="450"/>
      <c r="BH224" s="494"/>
      <c r="BI224" s="447" t="s">
        <v>1859</v>
      </c>
      <c r="BJ224" s="429"/>
    </row>
    <row r="225" spans="1:62" ht="25" customHeight="1">
      <c r="A225" s="495" t="s">
        <v>1725</v>
      </c>
      <c r="B225" s="154" t="s">
        <v>590</v>
      </c>
      <c r="C225" s="155"/>
      <c r="D225" s="351"/>
      <c r="E225" s="351"/>
      <c r="F225" s="361"/>
      <c r="G225" s="414"/>
      <c r="H225" s="413"/>
      <c r="I225" s="413"/>
      <c r="J225" s="413"/>
      <c r="K225" s="413" t="str">
        <f>IF(M225&lt;&gt;0,$M$5&amp;", ","")&amp;IF(N225&lt;&gt;0,$N$5&amp;", ","")&amp;IF(O225&lt;&gt;0,O$5&amp;", ","")&amp;IF(P225&lt;&gt;0,P$5&amp;", ","")&amp;IF(Q225&lt;&gt;0,Q$5&amp;", ","")&amp;IF(R225&lt;&gt;0,R$5&amp;", ","")&amp;IF(S225&lt;&gt;0,S$5&amp;", ","")&amp;IF(T225&lt;&gt;0,T$5&amp;", ","")&amp;IF(U225&lt;&gt;0,U$5&amp;", ","")&amp;IF(V225&lt;&gt;0,V$5&amp;", ","")&amp;IF(W225&lt;&gt;0,W$5&amp;", ","")&amp;IF(X225&lt;&gt;0,X$5&amp;", ","")&amp;IF(Y225&lt;&gt;0,Y$5&amp;", ","")&amp;IF(Z225&lt;&gt;0,Z$5&amp;", ","")&amp;IF(AA225&lt;&gt;0,AA$5&amp;", ","")&amp;IF(AB225&lt;&gt;0,AB$5&amp;", ","")&amp;IF(AC225&lt;&gt;0,AC$5&amp;", ","")&amp;IF(AD225&lt;&gt;0,AD$5&amp;", ","")&amp;IF(AE225&lt;&gt;0,AE$5&amp;", ","")&amp;IF(AF225&lt;&gt;0,AF$5&amp;", ","")&amp;IF(AG225&lt;&gt;0,AG$5&amp;", ","")&amp;IF(AH225&lt;&gt;0,AH$5&amp;", ","")&amp;IF(AI225&lt;&gt;0,AI$5&amp;", ","")&amp;IF(AJ225&lt;&gt;0,AJ$5&amp;", ","")&amp;IF(AK225&lt;&gt;0,AK$5&amp;", ","")&amp;IF(AL225&lt;&gt;0,AL$5&amp;", ","")&amp;IF(AM225&lt;&gt;0,AM$5&amp;", ","")&amp;IF(AN225&lt;&gt;0,AN$5&amp;", ","")&amp;IF(AO225&lt;&gt;0,AO$5&amp;", ","")&amp;IF(AP225&lt;&gt;0,AP$5&amp;", ","")&amp;IF(AQ225&lt;&gt;0,AQ$5&amp;", ","")&amp;IF(AR225&lt;&gt;0,AR$5,"")&amp;IF(AS225&lt;&gt;0,AS$5,"")&amp;IF(AT225&lt;&gt;0,AT$5,"")&amp;IF(AU225&lt;&gt;0,AU$5,"")</f>
        <v/>
      </c>
      <c r="L225" s="413" t="str">
        <f>IF(M225="","",$M$5&amp;":"&amp;M225&amp;";")&amp;IF(N225="","",$N$5&amp;":"&amp;N225&amp;";")&amp;IF(O225="","",$O$5&amp;":"&amp;O225&amp;";")&amp;IF(P225="","",$P$5&amp;":"&amp;P225&amp;";")&amp;IF(Q225="","",$Q$5&amp;":"&amp;Q225&amp;";")&amp;IF(R225="","",$R$5&amp;":"&amp;R225&amp;";")&amp;IF(S225="","",$S$5&amp;":"&amp;S225&amp;";")&amp;IF(T225="","",$T$5&amp;":"&amp;T225&amp;";")&amp;IF(U225="","",$U$5&amp;":"&amp;U225&amp;";")&amp;IF(V225="","",$V$5&amp;":"&amp;V225&amp;";")&amp;IF(W225="","",$W$5&amp;":"&amp;W225&amp;";")&amp;IF(X225="","",$X$5&amp;":"&amp;X225&amp;";")&amp;IF(Y225="","",$Y$5&amp;":"&amp;Y225&amp;";")&amp;IF(Z225="","",$Z$5&amp;":"&amp;Z225&amp;";")&amp;IF(AA225="","",$AA$5&amp;":"&amp;AA225&amp;";")&amp;IF(AB225="","",$AB$5&amp;":"&amp;AB225&amp;";")&amp;IF(AC225="","",$AC$5&amp;":"&amp;AC225&amp;";")&amp;IF(AD225="","",$AD$5&amp;":"&amp;AD225&amp;";")&amp;IF(AE225="","",$AE$5&amp;":"&amp;AE225&amp;";")&amp;IF(AF225="","",$AF$5&amp;":"&amp;AF225&amp;";")&amp;IF(AG225="","",$AG$5&amp;":"&amp;AG225&amp;";")&amp;IF(AH225="","",$AH$5&amp;":"&amp;AH225&amp;";")&amp;IF(AI225="","",$AI$5&amp;":"&amp;AI225&amp;";")&amp;IF(AJ225="","",$AJ$5&amp;":"&amp;AJ225&amp;";")&amp;IF(AK225="","",$AK$5&amp;":"&amp;AK225&amp;";")&amp;IF(AL225="","",$AL$5&amp;":"&amp;AL225&amp;";")&amp;IF(AM225="","",$AM$5&amp;":"&amp;AM225&amp;";")&amp;IF(AN225="","",$AN$5&amp;":"&amp;AN225&amp;";")&amp;IF(AO225="","",$AO$5&amp;":"&amp;AO225&amp;";")&amp;IF(AP225="","",$AP$5&amp;":"&amp;AP225&amp;";")&amp;IF(AQ225="","",$AQ$5&amp;":"&amp;AQ225&amp;";")&amp;IF(AR225="","",$AR$5&amp;":"&amp;AR225&amp;";")&amp;IF(AS225="","",$AS$5&amp;":"&amp;AS225&amp;";")&amp;IF(AT225="","",$AT$5&amp;":"&amp;AT225&amp;";")&amp;IF(AU225="","",$AU$5&amp;":"&amp;AU225&amp;";")</f>
        <v/>
      </c>
      <c r="M225" s="361"/>
      <c r="N225" s="361"/>
      <c r="O225" s="361"/>
      <c r="P225" s="361"/>
      <c r="Q225" s="361"/>
      <c r="R225" s="361"/>
      <c r="S225" s="361"/>
      <c r="T225" s="361"/>
      <c r="U225" s="361"/>
      <c r="V225" s="361"/>
      <c r="W225" s="361"/>
      <c r="X225" s="361"/>
      <c r="Y225" s="361"/>
      <c r="Z225" s="361"/>
      <c r="AA225" s="361"/>
      <c r="AB225" s="361"/>
      <c r="AC225" s="361"/>
      <c r="AD225" s="361"/>
      <c r="AE225" s="361"/>
      <c r="AF225" s="361"/>
      <c r="AG225" s="361"/>
      <c r="AH225" s="361"/>
      <c r="AI225" s="361"/>
      <c r="AJ225" s="361"/>
      <c r="AK225" s="361"/>
      <c r="AL225" s="361"/>
      <c r="AM225" s="361"/>
      <c r="AN225" s="361"/>
      <c r="AO225" s="361"/>
      <c r="AP225" s="361"/>
      <c r="AQ225" s="361"/>
      <c r="AR225" s="361"/>
      <c r="AS225" s="361"/>
      <c r="AT225" s="361"/>
      <c r="AU225" s="361"/>
      <c r="AV225" s="351"/>
      <c r="AW225" s="351"/>
      <c r="AX225" s="351"/>
      <c r="AY225" s="260"/>
      <c r="AZ225" s="181"/>
      <c r="BA225" s="351"/>
      <c r="BB225" s="351"/>
      <c r="BC225" s="156"/>
      <c r="BD225" s="156"/>
      <c r="BE225" s="156"/>
      <c r="BF225" s="156"/>
      <c r="BG225" s="156"/>
      <c r="BH225" s="351"/>
    </row>
    <row r="226" spans="1:62" s="179" customFormat="1" ht="24.65" customHeight="1">
      <c r="A226" s="145"/>
      <c r="B226" s="163" t="s">
        <v>1757</v>
      </c>
      <c r="C226" s="164"/>
      <c r="D226" s="368"/>
      <c r="E226" s="368"/>
      <c r="F226" s="368"/>
      <c r="G226" s="410"/>
      <c r="H226" s="411"/>
      <c r="I226" s="411"/>
      <c r="J226" s="411"/>
      <c r="K226" s="411"/>
      <c r="L226" s="411"/>
      <c r="M226" s="368"/>
      <c r="N226" s="368"/>
      <c r="O226" s="368"/>
      <c r="P226" s="368"/>
      <c r="Q226" s="368"/>
      <c r="R226" s="368"/>
      <c r="S226" s="368"/>
      <c r="T226" s="368"/>
      <c r="U226" s="368"/>
      <c r="V226" s="368"/>
      <c r="W226" s="368"/>
      <c r="X226" s="368"/>
      <c r="Y226" s="368"/>
      <c r="Z226" s="368"/>
      <c r="AA226" s="368"/>
      <c r="AB226" s="368"/>
      <c r="AC226" s="368"/>
      <c r="AD226" s="368"/>
      <c r="AE226" s="368"/>
      <c r="AF226" s="368"/>
      <c r="AG226" s="368"/>
      <c r="AH226" s="368"/>
      <c r="AI226" s="368"/>
      <c r="AJ226" s="368"/>
      <c r="AK226" s="368"/>
      <c r="AL226" s="368"/>
      <c r="AM226" s="368"/>
      <c r="AN226" s="368"/>
      <c r="AO226" s="368"/>
      <c r="AP226" s="368"/>
      <c r="AQ226" s="368"/>
      <c r="AR226" s="368"/>
      <c r="AS226" s="368"/>
      <c r="AT226" s="368"/>
      <c r="AU226" s="368"/>
      <c r="AV226" s="368"/>
      <c r="AW226" s="368"/>
      <c r="AX226" s="368"/>
      <c r="AY226" s="257"/>
      <c r="AZ226" s="178"/>
      <c r="BA226" s="368"/>
      <c r="BB226" s="368"/>
      <c r="BC226" s="165"/>
      <c r="BD226" s="165"/>
      <c r="BE226" s="165"/>
      <c r="BF226" s="165"/>
      <c r="BG226" s="165"/>
      <c r="BH226" s="368"/>
      <c r="BI226" s="412"/>
      <c r="BJ226" s="412"/>
    </row>
    <row r="227" spans="1:62" ht="42" customHeight="1">
      <c r="A227" s="344">
        <f>SUBTOTAL(3,C$11:$C227)</f>
        <v>151</v>
      </c>
      <c r="B227" s="337" t="s">
        <v>595</v>
      </c>
      <c r="C227" s="338" t="s">
        <v>35</v>
      </c>
      <c r="D227" s="339">
        <v>1.81</v>
      </c>
      <c r="E227" s="339">
        <v>0.11</v>
      </c>
      <c r="F227" s="339">
        <v>1.7</v>
      </c>
      <c r="G227" s="414">
        <f>SUM(M227:AR227)</f>
        <v>1.7</v>
      </c>
      <c r="H227" s="413" t="s">
        <v>5</v>
      </c>
      <c r="I227" s="413" t="s">
        <v>8</v>
      </c>
      <c r="J227" s="413"/>
      <c r="K227" s="413" t="str">
        <f>IF(M227&lt;&gt;0,$M$5&amp;", ","")&amp;IF(N227&lt;&gt;0,$N$5&amp;", ","")&amp;IF(O227&lt;&gt;0,O$5&amp;", ","")&amp;IF(P227&lt;&gt;0,P$5&amp;", ","")&amp;IF(Q227&lt;&gt;0,Q$5&amp;", ","")&amp;IF(R227&lt;&gt;0,R$5&amp;", ","")&amp;IF(S227&lt;&gt;0,S$5&amp;", ","")&amp;IF(T227&lt;&gt;0,T$5&amp;", ","")&amp;IF(U227&lt;&gt;0,U$5&amp;", ","")&amp;IF(V227&lt;&gt;0,V$5&amp;", ","")&amp;IF(W227&lt;&gt;0,W$5&amp;", ","")&amp;IF(X227&lt;&gt;0,X$5&amp;", ","")&amp;IF(Y227&lt;&gt;0,Y$5&amp;", ","")&amp;IF(Z227&lt;&gt;0,Z$5&amp;", ","")&amp;IF(AA227&lt;&gt;0,AA$5&amp;", ","")&amp;IF(AB227&lt;&gt;0,AB$5&amp;", ","")&amp;IF(AC227&lt;&gt;0,AC$5&amp;", ","")&amp;IF(AD227&lt;&gt;0,AD$5&amp;", ","")&amp;IF(AE227&lt;&gt;0,AE$5&amp;", ","")&amp;IF(AF227&lt;&gt;0,AF$5&amp;", ","")&amp;IF(AG227&lt;&gt;0,AG$5&amp;", ","")&amp;IF(AH227&lt;&gt;0,AH$5&amp;", ","")&amp;IF(AI227&lt;&gt;0,AI$5&amp;", ","")&amp;IF(AJ227&lt;&gt;0,AJ$5&amp;", ","")&amp;IF(AK227&lt;&gt;0,AK$5&amp;", ","")&amp;IF(AL227&lt;&gt;0,AL$5&amp;", ","")&amp;IF(AM227&lt;&gt;0,AM$5&amp;", ","")&amp;IF(AN227&lt;&gt;0,AN$5&amp;", ","")&amp;IF(AO227&lt;&gt;0,AO$5&amp;", ","")&amp;IF(AP227&lt;&gt;0,AP$5&amp;", ","")&amp;IF(AQ227&lt;&gt;0,AQ$5&amp;", ","")&amp;IF(AR227&lt;&gt;0,AR$5,"")&amp;IF(AS227&lt;&gt;0,AS$5,"")&amp;IF(AT227&lt;&gt;0,AT$5,"")&amp;IF(AU227&lt;&gt;0,AU$5,"")</f>
        <v xml:space="preserve">LUK, </v>
      </c>
      <c r="L227" s="413" t="str">
        <f>IF(M227="","",$M$5&amp;":"&amp;M227&amp;";")&amp;IF(N227="","",$N$5&amp;":"&amp;N227&amp;";")&amp;IF(O227="","",$O$5&amp;":"&amp;O227&amp;";")&amp;IF(P227="","",$P$5&amp;":"&amp;P227&amp;";")&amp;IF(Q227="","",$Q$5&amp;":"&amp;Q227&amp;";")&amp;IF(R227="","",$R$5&amp;":"&amp;R227&amp;";")&amp;IF(S227="","",$S$5&amp;":"&amp;S227&amp;";")&amp;IF(T227="","",$T$5&amp;":"&amp;T227&amp;";")&amp;IF(U227="","",$U$5&amp;":"&amp;U227&amp;";")&amp;IF(V227="","",$V$5&amp;":"&amp;V227&amp;";")&amp;IF(W227="","",$W$5&amp;":"&amp;W227&amp;";")&amp;IF(X227="","",$X$5&amp;":"&amp;X227&amp;";")&amp;IF(Y227="","",$Y$5&amp;":"&amp;Y227&amp;";")&amp;IF(Z227="","",$Z$5&amp;":"&amp;Z227&amp;";")&amp;IF(AA227="","",$AA$5&amp;":"&amp;AA227&amp;";")&amp;IF(AB227="","",$AB$5&amp;":"&amp;AB227&amp;";")&amp;IF(AC227="","",$AC$5&amp;":"&amp;AC227&amp;";")&amp;IF(AD227="","",$AD$5&amp;":"&amp;AD227&amp;";")&amp;IF(AE227="","",$AE$5&amp;":"&amp;AE227&amp;";")&amp;IF(AF227="","",$AF$5&amp;":"&amp;AF227&amp;";")&amp;IF(AG227="","",$AG$5&amp;":"&amp;AG227&amp;";")&amp;IF(AH227="","",$AH$5&amp;":"&amp;AH227&amp;";")&amp;IF(AI227="","",$AI$5&amp;":"&amp;AI227&amp;";")&amp;IF(AJ227="","",$AJ$5&amp;":"&amp;AJ227&amp;";")&amp;IF(AK227="","",$AK$5&amp;":"&amp;AK227&amp;";")&amp;IF(AL227="","",$AL$5&amp;":"&amp;AL227&amp;";")&amp;IF(AM227="","",$AM$5&amp;":"&amp;AM227&amp;";")&amp;IF(AN227="","",$AN$5&amp;":"&amp;AN227&amp;";")&amp;IF(AO227="","",$AO$5&amp;":"&amp;AO227&amp;";")&amp;IF(AP227="","",$AP$5&amp;":"&amp;AP227&amp;";")&amp;IF(AQ227="","",$AQ$5&amp;":"&amp;AQ227&amp;";")&amp;IF(AR227="","",$AR$5&amp;":"&amp;AR227&amp;";")&amp;IF(AS227="","",$AS$5&amp;":"&amp;AS227&amp;";")&amp;IF(AT227="","",$AT$5&amp;":"&amp;AT227&amp;";")&amp;IF(AU227="","",$AU$5&amp;":"&amp;AU227&amp;";")</f>
        <v>LUK:1,7;</v>
      </c>
      <c r="M227" s="339"/>
      <c r="N227" s="339">
        <v>1.7</v>
      </c>
      <c r="O227" s="339"/>
      <c r="P227" s="339"/>
      <c r="Q227" s="339"/>
      <c r="R227" s="339"/>
      <c r="S227" s="339"/>
      <c r="T227" s="339"/>
      <c r="U227" s="339"/>
      <c r="V227" s="339"/>
      <c r="W227" s="339"/>
      <c r="X227" s="339"/>
      <c r="Y227" s="339"/>
      <c r="Z227" s="339"/>
      <c r="AA227" s="339"/>
      <c r="AB227" s="339"/>
      <c r="AC227" s="339"/>
      <c r="AD227" s="339"/>
      <c r="AE227" s="339"/>
      <c r="AF227" s="339"/>
      <c r="AG227" s="339"/>
      <c r="AH227" s="339"/>
      <c r="AI227" s="339"/>
      <c r="AJ227" s="339"/>
      <c r="AK227" s="339"/>
      <c r="AL227" s="339"/>
      <c r="AM227" s="339"/>
      <c r="AN227" s="339"/>
      <c r="AO227" s="339"/>
      <c r="AP227" s="339"/>
      <c r="AQ227" s="339"/>
      <c r="AR227" s="339"/>
      <c r="AS227" s="339"/>
      <c r="AT227" s="339"/>
      <c r="AU227" s="339"/>
      <c r="AV227" s="338" t="s">
        <v>295</v>
      </c>
      <c r="AW227" s="338" t="s">
        <v>295</v>
      </c>
      <c r="AX227" s="350" t="s">
        <v>345</v>
      </c>
      <c r="AY227" s="356" t="s">
        <v>345</v>
      </c>
      <c r="AZ227" s="352" t="s">
        <v>1314</v>
      </c>
      <c r="BA227" s="350"/>
      <c r="BB227" s="350"/>
      <c r="BC227" s="195" t="s">
        <v>270</v>
      </c>
      <c r="BD227" s="195"/>
      <c r="BE227" s="195"/>
      <c r="BF227" s="195" t="s">
        <v>263</v>
      </c>
      <c r="BG227" s="195"/>
      <c r="BH227" s="350"/>
    </row>
    <row r="228" spans="1:62" ht="25" customHeight="1">
      <c r="A228" s="172" t="s">
        <v>1726</v>
      </c>
      <c r="B228" s="159" t="s">
        <v>99</v>
      </c>
      <c r="C228" s="158"/>
      <c r="D228" s="351"/>
      <c r="E228" s="351"/>
      <c r="F228" s="361"/>
      <c r="G228" s="414"/>
      <c r="H228" s="413"/>
      <c r="I228" s="413"/>
      <c r="J228" s="413"/>
      <c r="K228" s="413" t="str">
        <f>IF(M228&lt;&gt;0,$M$5&amp;", ","")&amp;IF(N228&lt;&gt;0,$N$5&amp;", ","")&amp;IF(O228&lt;&gt;0,O$5&amp;", ","")&amp;IF(P228&lt;&gt;0,P$5&amp;", ","")&amp;IF(Q228&lt;&gt;0,Q$5&amp;", ","")&amp;IF(R228&lt;&gt;0,R$5&amp;", ","")&amp;IF(S228&lt;&gt;0,S$5&amp;", ","")&amp;IF(T228&lt;&gt;0,T$5&amp;", ","")&amp;IF(U228&lt;&gt;0,U$5&amp;", ","")&amp;IF(V228&lt;&gt;0,V$5&amp;", ","")&amp;IF(W228&lt;&gt;0,W$5&amp;", ","")&amp;IF(X228&lt;&gt;0,X$5&amp;", ","")&amp;IF(Y228&lt;&gt;0,Y$5&amp;", ","")&amp;IF(Z228&lt;&gt;0,Z$5&amp;", ","")&amp;IF(AA228&lt;&gt;0,AA$5&amp;", ","")&amp;IF(AB228&lt;&gt;0,AB$5&amp;", ","")&amp;IF(AC228&lt;&gt;0,AC$5&amp;", ","")&amp;IF(AD228&lt;&gt;0,AD$5&amp;", ","")&amp;IF(AE228&lt;&gt;0,AE$5&amp;", ","")&amp;IF(AF228&lt;&gt;0,AF$5&amp;", ","")&amp;IF(AG228&lt;&gt;0,AG$5&amp;", ","")&amp;IF(AH228&lt;&gt;0,AH$5&amp;", ","")&amp;IF(AI228&lt;&gt;0,AI$5&amp;", ","")&amp;IF(AJ228&lt;&gt;0,AJ$5&amp;", ","")&amp;IF(AK228&lt;&gt;0,AK$5&amp;", ","")&amp;IF(AL228&lt;&gt;0,AL$5&amp;", ","")&amp;IF(AM228&lt;&gt;0,AM$5&amp;", ","")&amp;IF(AN228&lt;&gt;0,AN$5&amp;", ","")&amp;IF(AO228&lt;&gt;0,AO$5&amp;", ","")&amp;IF(AP228&lt;&gt;0,AP$5&amp;", ","")&amp;IF(AQ228&lt;&gt;0,AQ$5&amp;", ","")&amp;IF(AR228&lt;&gt;0,AR$5,"")&amp;IF(AS228&lt;&gt;0,AS$5,"")&amp;IF(AT228&lt;&gt;0,AT$5,"")&amp;IF(AU228&lt;&gt;0,AU$5,"")</f>
        <v/>
      </c>
      <c r="L228" s="413" t="str">
        <f>IF(M228="","",$M$5&amp;":"&amp;M228&amp;";")&amp;IF(N228="","",$N$5&amp;":"&amp;N228&amp;";")&amp;IF(O228="","",$O$5&amp;":"&amp;O228&amp;";")&amp;IF(P228="","",$P$5&amp;":"&amp;P228&amp;";")&amp;IF(Q228="","",$Q$5&amp;":"&amp;Q228&amp;";")&amp;IF(R228="","",$R$5&amp;":"&amp;R228&amp;";")&amp;IF(S228="","",$S$5&amp;":"&amp;S228&amp;";")&amp;IF(T228="","",$T$5&amp;":"&amp;T228&amp;";")&amp;IF(U228="","",$U$5&amp;":"&amp;U228&amp;";")&amp;IF(V228="","",$V$5&amp;":"&amp;V228&amp;";")&amp;IF(W228="","",$W$5&amp;":"&amp;W228&amp;";")&amp;IF(X228="","",$X$5&amp;":"&amp;X228&amp;";")&amp;IF(Y228="","",$Y$5&amp;":"&amp;Y228&amp;";")&amp;IF(Z228="","",$Z$5&amp;":"&amp;Z228&amp;";")&amp;IF(AA228="","",$AA$5&amp;":"&amp;AA228&amp;";")&amp;IF(AB228="","",$AB$5&amp;":"&amp;AB228&amp;";")&amp;IF(AC228="","",$AC$5&amp;":"&amp;AC228&amp;";")&amp;IF(AD228="","",$AD$5&amp;":"&amp;AD228&amp;";")&amp;IF(AE228="","",$AE$5&amp;":"&amp;AE228&amp;";")&amp;IF(AF228="","",$AF$5&amp;":"&amp;AF228&amp;";")&amp;IF(AG228="","",$AG$5&amp;":"&amp;AG228&amp;";")&amp;IF(AH228="","",$AH$5&amp;":"&amp;AH228&amp;";")&amp;IF(AI228="","",$AI$5&amp;":"&amp;AI228&amp;";")&amp;IF(AJ228="","",$AJ$5&amp;":"&amp;AJ228&amp;";")&amp;IF(AK228="","",$AK$5&amp;":"&amp;AK228&amp;";")&amp;IF(AL228="","",$AL$5&amp;":"&amp;AL228&amp;";")&amp;IF(AM228="","",$AM$5&amp;":"&amp;AM228&amp;";")&amp;IF(AN228="","",$AN$5&amp;":"&amp;AN228&amp;";")&amp;IF(AO228="","",$AO$5&amp;":"&amp;AO228&amp;";")&amp;IF(AP228="","",$AP$5&amp;":"&amp;AP228&amp;";")&amp;IF(AQ228="","",$AQ$5&amp;":"&amp;AQ228&amp;";")&amp;IF(AR228="","",$AR$5&amp;":"&amp;AR228&amp;";")&amp;IF(AS228="","",$AS$5&amp;":"&amp;AS228&amp;";")&amp;IF(AT228="","",$AT$5&amp;":"&amp;AT228&amp;";")&amp;IF(AU228="","",$AU$5&amp;":"&amp;AU228&amp;";")</f>
        <v/>
      </c>
      <c r="M228" s="361"/>
      <c r="N228" s="361"/>
      <c r="O228" s="361"/>
      <c r="P228" s="361"/>
      <c r="Q228" s="361"/>
      <c r="R228" s="361"/>
      <c r="S228" s="361"/>
      <c r="T228" s="361"/>
      <c r="U228" s="361"/>
      <c r="V228" s="361"/>
      <c r="W228" s="361"/>
      <c r="X228" s="361"/>
      <c r="Y228" s="361"/>
      <c r="Z228" s="361"/>
      <c r="AA228" s="361"/>
      <c r="AB228" s="361"/>
      <c r="AC228" s="361"/>
      <c r="AD228" s="361"/>
      <c r="AE228" s="361"/>
      <c r="AF228" s="361"/>
      <c r="AG228" s="361"/>
      <c r="AH228" s="361"/>
      <c r="AI228" s="361"/>
      <c r="AJ228" s="361"/>
      <c r="AK228" s="361"/>
      <c r="AL228" s="361"/>
      <c r="AM228" s="361"/>
      <c r="AN228" s="361"/>
      <c r="AO228" s="361"/>
      <c r="AP228" s="361"/>
      <c r="AQ228" s="361"/>
      <c r="AR228" s="361"/>
      <c r="AS228" s="361"/>
      <c r="AT228" s="361"/>
      <c r="AU228" s="361"/>
      <c r="AV228" s="351"/>
      <c r="AW228" s="351"/>
      <c r="AX228" s="351"/>
      <c r="AY228" s="260"/>
      <c r="AZ228" s="181"/>
      <c r="BA228" s="351"/>
      <c r="BB228" s="351"/>
      <c r="BC228" s="156"/>
      <c r="BD228" s="156"/>
      <c r="BE228" s="156"/>
      <c r="BF228" s="156"/>
      <c r="BG228" s="156"/>
      <c r="BH228" s="351"/>
    </row>
    <row r="229" spans="1:62" s="179" customFormat="1" ht="24.65" customHeight="1">
      <c r="A229" s="145"/>
      <c r="B229" s="163" t="s">
        <v>1757</v>
      </c>
      <c r="C229" s="164"/>
      <c r="D229" s="368"/>
      <c r="E229" s="368"/>
      <c r="F229" s="368"/>
      <c r="G229" s="410"/>
      <c r="H229" s="411"/>
      <c r="I229" s="411"/>
      <c r="J229" s="411"/>
      <c r="K229" s="411"/>
      <c r="L229" s="411"/>
      <c r="M229" s="368"/>
      <c r="N229" s="368"/>
      <c r="O229" s="368"/>
      <c r="P229" s="368"/>
      <c r="Q229" s="368"/>
      <c r="R229" s="368"/>
      <c r="S229" s="368"/>
      <c r="T229" s="368"/>
      <c r="U229" s="368"/>
      <c r="V229" s="368"/>
      <c r="W229" s="368"/>
      <c r="X229" s="368"/>
      <c r="Y229" s="368"/>
      <c r="Z229" s="368"/>
      <c r="AA229" s="368"/>
      <c r="AB229" s="368"/>
      <c r="AC229" s="368"/>
      <c r="AD229" s="368"/>
      <c r="AE229" s="368"/>
      <c r="AF229" s="368"/>
      <c r="AG229" s="368"/>
      <c r="AH229" s="368"/>
      <c r="AI229" s="368"/>
      <c r="AJ229" s="368"/>
      <c r="AK229" s="368"/>
      <c r="AL229" s="368"/>
      <c r="AM229" s="368"/>
      <c r="AN229" s="368"/>
      <c r="AO229" s="368"/>
      <c r="AP229" s="368"/>
      <c r="AQ229" s="368"/>
      <c r="AR229" s="368"/>
      <c r="AS229" s="368"/>
      <c r="AT229" s="368"/>
      <c r="AU229" s="368"/>
      <c r="AV229" s="368"/>
      <c r="AW229" s="368"/>
      <c r="AX229" s="368"/>
      <c r="AY229" s="257"/>
      <c r="AZ229" s="178"/>
      <c r="BA229" s="368"/>
      <c r="BB229" s="368"/>
      <c r="BC229" s="165"/>
      <c r="BD229" s="165"/>
      <c r="BE229" s="165"/>
      <c r="BF229" s="165"/>
      <c r="BG229" s="165"/>
      <c r="BH229" s="368"/>
      <c r="BI229" s="412"/>
      <c r="BJ229" s="412"/>
    </row>
    <row r="230" spans="1:62" ht="42" customHeight="1">
      <c r="A230" s="344">
        <f>SUBTOTAL(3,C$11:$C230)</f>
        <v>152</v>
      </c>
      <c r="B230" s="337" t="s">
        <v>598</v>
      </c>
      <c r="C230" s="338" t="s">
        <v>37</v>
      </c>
      <c r="D230" s="339">
        <v>0.56000000000000005</v>
      </c>
      <c r="E230" s="339">
        <v>0.33</v>
      </c>
      <c r="F230" s="339">
        <v>0.23</v>
      </c>
      <c r="G230" s="414">
        <f>SUM(M230:AR230)</f>
        <v>0.23</v>
      </c>
      <c r="H230" s="413" t="s">
        <v>5</v>
      </c>
      <c r="I230" s="413" t="s">
        <v>7</v>
      </c>
      <c r="J230" s="413"/>
      <c r="K230" s="413" t="str">
        <f t="shared" ref="K230:K235" si="30">IF(M230&lt;&gt;0,$M$5&amp;", ","")&amp;IF(N230&lt;&gt;0,$N$5&amp;", ","")&amp;IF(O230&lt;&gt;0,O$5&amp;", ","")&amp;IF(P230&lt;&gt;0,P$5&amp;", ","")&amp;IF(Q230&lt;&gt;0,Q$5&amp;", ","")&amp;IF(R230&lt;&gt;0,R$5&amp;", ","")&amp;IF(S230&lt;&gt;0,S$5&amp;", ","")&amp;IF(T230&lt;&gt;0,T$5&amp;", ","")&amp;IF(U230&lt;&gt;0,U$5&amp;", ","")&amp;IF(V230&lt;&gt;0,V$5&amp;", ","")&amp;IF(W230&lt;&gt;0,W$5&amp;", ","")&amp;IF(X230&lt;&gt;0,X$5&amp;", ","")&amp;IF(Y230&lt;&gt;0,Y$5&amp;", ","")&amp;IF(Z230&lt;&gt;0,Z$5&amp;", ","")&amp;IF(AA230&lt;&gt;0,AA$5&amp;", ","")&amp;IF(AB230&lt;&gt;0,AB$5&amp;", ","")&amp;IF(AC230&lt;&gt;0,AC$5&amp;", ","")&amp;IF(AD230&lt;&gt;0,AD$5&amp;", ","")&amp;IF(AE230&lt;&gt;0,AE$5&amp;", ","")&amp;IF(AF230&lt;&gt;0,AF$5&amp;", ","")&amp;IF(AG230&lt;&gt;0,AG$5&amp;", ","")&amp;IF(AH230&lt;&gt;0,AH$5&amp;", ","")&amp;IF(AI230&lt;&gt;0,AI$5&amp;", ","")&amp;IF(AJ230&lt;&gt;0,AJ$5&amp;", ","")&amp;IF(AK230&lt;&gt;0,AK$5&amp;", ","")&amp;IF(AL230&lt;&gt;0,AL$5&amp;", ","")&amp;IF(AM230&lt;&gt;0,AM$5&amp;", ","")&amp;IF(AN230&lt;&gt;0,AN$5&amp;", ","")&amp;IF(AO230&lt;&gt;0,AO$5&amp;", ","")&amp;IF(AP230&lt;&gt;0,AP$5&amp;", ","")&amp;IF(AQ230&lt;&gt;0,AQ$5&amp;", ","")&amp;IF(AR230&lt;&gt;0,AR$5,"")&amp;IF(AS230&lt;&gt;0,AS$5,"")&amp;IF(AT230&lt;&gt;0,AT$5,"")&amp;IF(AU230&lt;&gt;0,AU$5,"")</f>
        <v xml:space="preserve">LUC, </v>
      </c>
      <c r="L230" s="413" t="str">
        <f t="shared" ref="L230:L235" si="31">IF(M230="","",$M$5&amp;":"&amp;M230&amp;";")&amp;IF(N230="","",$N$5&amp;":"&amp;N230&amp;";")&amp;IF(O230="","",$O$5&amp;":"&amp;O230&amp;";")&amp;IF(P230="","",$P$5&amp;":"&amp;P230&amp;";")&amp;IF(Q230="","",$Q$5&amp;":"&amp;Q230&amp;";")&amp;IF(R230="","",$R$5&amp;":"&amp;R230&amp;";")&amp;IF(S230="","",$S$5&amp;":"&amp;S230&amp;";")&amp;IF(T230="","",$T$5&amp;":"&amp;T230&amp;";")&amp;IF(U230="","",$U$5&amp;":"&amp;U230&amp;";")&amp;IF(V230="","",$V$5&amp;":"&amp;V230&amp;";")&amp;IF(W230="","",$W$5&amp;":"&amp;W230&amp;";")&amp;IF(X230="","",$X$5&amp;":"&amp;X230&amp;";")&amp;IF(Y230="","",$Y$5&amp;":"&amp;Y230&amp;";")&amp;IF(Z230="","",$Z$5&amp;":"&amp;Z230&amp;";")&amp;IF(AA230="","",$AA$5&amp;":"&amp;AA230&amp;";")&amp;IF(AB230="","",$AB$5&amp;":"&amp;AB230&amp;";")&amp;IF(AC230="","",$AC$5&amp;":"&amp;AC230&amp;";")&amp;IF(AD230="","",$AD$5&amp;":"&amp;AD230&amp;";")&amp;IF(AE230="","",$AE$5&amp;":"&amp;AE230&amp;";")&amp;IF(AF230="","",$AF$5&amp;":"&amp;AF230&amp;";")&amp;IF(AG230="","",$AG$5&amp;":"&amp;AG230&amp;";")&amp;IF(AH230="","",$AH$5&amp;":"&amp;AH230&amp;";")&amp;IF(AI230="","",$AI$5&amp;":"&amp;AI230&amp;";")&amp;IF(AJ230="","",$AJ$5&amp;":"&amp;AJ230&amp;";")&amp;IF(AK230="","",$AK$5&amp;":"&amp;AK230&amp;";")&amp;IF(AL230="","",$AL$5&amp;":"&amp;AL230&amp;";")&amp;IF(AM230="","",$AM$5&amp;":"&amp;AM230&amp;";")&amp;IF(AN230="","",$AN$5&amp;":"&amp;AN230&amp;";")&amp;IF(AO230="","",$AO$5&amp;":"&amp;AO230&amp;";")&amp;IF(AP230="","",$AP$5&amp;":"&amp;AP230&amp;";")&amp;IF(AQ230="","",$AQ$5&amp;":"&amp;AQ230&amp;";")&amp;IF(AR230="","",$AR$5&amp;":"&amp;AR230&amp;";")&amp;IF(AS230="","",$AS$5&amp;":"&amp;AS230&amp;";")&amp;IF(AT230="","",$AT$5&amp;":"&amp;AT230&amp;";")&amp;IF(AU230="","",$AU$5&amp;":"&amp;AU230&amp;";")</f>
        <v>LUC:0,23;</v>
      </c>
      <c r="M230" s="339">
        <v>0.23</v>
      </c>
      <c r="N230" s="339"/>
      <c r="O230" s="339"/>
      <c r="P230" s="339"/>
      <c r="Q230" s="339"/>
      <c r="R230" s="339"/>
      <c r="S230" s="339"/>
      <c r="T230" s="339"/>
      <c r="U230" s="339"/>
      <c r="V230" s="339"/>
      <c r="W230" s="339"/>
      <c r="X230" s="339"/>
      <c r="Y230" s="339"/>
      <c r="Z230" s="339"/>
      <c r="AA230" s="339"/>
      <c r="AB230" s="339"/>
      <c r="AC230" s="339"/>
      <c r="AD230" s="339"/>
      <c r="AE230" s="339"/>
      <c r="AF230" s="339"/>
      <c r="AG230" s="339"/>
      <c r="AH230" s="339"/>
      <c r="AI230" s="339"/>
      <c r="AJ230" s="339"/>
      <c r="AK230" s="339"/>
      <c r="AL230" s="339"/>
      <c r="AM230" s="339"/>
      <c r="AN230" s="339"/>
      <c r="AO230" s="339"/>
      <c r="AP230" s="339"/>
      <c r="AQ230" s="339"/>
      <c r="AR230" s="339"/>
      <c r="AS230" s="339"/>
      <c r="AT230" s="339"/>
      <c r="AU230" s="339"/>
      <c r="AV230" s="338" t="s">
        <v>217</v>
      </c>
      <c r="AW230" s="338" t="s">
        <v>217</v>
      </c>
      <c r="AX230" s="432" t="s">
        <v>599</v>
      </c>
      <c r="AY230" s="433" t="s">
        <v>599</v>
      </c>
      <c r="AZ230" s="434" t="s">
        <v>1316</v>
      </c>
      <c r="BA230" s="432"/>
      <c r="BB230" s="432"/>
      <c r="BC230" s="478" t="s">
        <v>316</v>
      </c>
      <c r="BD230" s="478"/>
      <c r="BE230" s="478"/>
      <c r="BF230" s="478" t="s">
        <v>263</v>
      </c>
      <c r="BG230" s="478"/>
      <c r="BH230" s="432"/>
    </row>
    <row r="231" spans="1:62" ht="42" customHeight="1">
      <c r="A231" s="344">
        <f>SUBTOTAL(3,C$11:$C231)</f>
        <v>153</v>
      </c>
      <c r="B231" s="337" t="s">
        <v>600</v>
      </c>
      <c r="C231" s="338" t="s">
        <v>37</v>
      </c>
      <c r="D231" s="339">
        <v>1.05</v>
      </c>
      <c r="E231" s="339">
        <v>0.99</v>
      </c>
      <c r="F231" s="339">
        <v>0.06</v>
      </c>
      <c r="G231" s="414">
        <f>SUM(M231:AR231)</f>
        <v>0.06</v>
      </c>
      <c r="H231" s="413" t="s">
        <v>11</v>
      </c>
      <c r="I231" s="413" t="s">
        <v>11</v>
      </c>
      <c r="J231" s="413"/>
      <c r="K231" s="413" t="str">
        <f t="shared" si="30"/>
        <v xml:space="preserve">HNK, </v>
      </c>
      <c r="L231" s="413" t="str">
        <f t="shared" si="31"/>
        <v>HNK:0,06;</v>
      </c>
      <c r="M231" s="339"/>
      <c r="N231" s="339"/>
      <c r="O231" s="339">
        <v>0.06</v>
      </c>
      <c r="P231" s="339"/>
      <c r="Q231" s="339"/>
      <c r="R231" s="339"/>
      <c r="S231" s="339"/>
      <c r="T231" s="339"/>
      <c r="U231" s="339"/>
      <c r="V231" s="339"/>
      <c r="W231" s="339"/>
      <c r="X231" s="339"/>
      <c r="Y231" s="339"/>
      <c r="Z231" s="339"/>
      <c r="AA231" s="339"/>
      <c r="AB231" s="339"/>
      <c r="AC231" s="339"/>
      <c r="AD231" s="339"/>
      <c r="AE231" s="339"/>
      <c r="AF231" s="339"/>
      <c r="AG231" s="339"/>
      <c r="AH231" s="339"/>
      <c r="AI231" s="339"/>
      <c r="AJ231" s="339"/>
      <c r="AK231" s="339"/>
      <c r="AL231" s="339"/>
      <c r="AM231" s="339"/>
      <c r="AN231" s="339"/>
      <c r="AO231" s="339"/>
      <c r="AP231" s="339"/>
      <c r="AQ231" s="339"/>
      <c r="AR231" s="339"/>
      <c r="AS231" s="339"/>
      <c r="AT231" s="339"/>
      <c r="AU231" s="339"/>
      <c r="AV231" s="338" t="s">
        <v>217</v>
      </c>
      <c r="AW231" s="338" t="s">
        <v>217</v>
      </c>
      <c r="AX231" s="432" t="s">
        <v>601</v>
      </c>
      <c r="AY231" s="433" t="s">
        <v>601</v>
      </c>
      <c r="AZ231" s="434" t="s">
        <v>1317</v>
      </c>
      <c r="BA231" s="432"/>
      <c r="BB231" s="432"/>
      <c r="BC231" s="478" t="s">
        <v>316</v>
      </c>
      <c r="BD231" s="478"/>
      <c r="BE231" s="478"/>
      <c r="BF231" s="478" t="s">
        <v>263</v>
      </c>
      <c r="BG231" s="478"/>
      <c r="BH231" s="432"/>
    </row>
    <row r="232" spans="1:62" ht="42" customHeight="1">
      <c r="A232" s="344">
        <f>SUBTOTAL(3,C$11:$C232)</f>
        <v>154</v>
      </c>
      <c r="B232" s="337" t="s">
        <v>604</v>
      </c>
      <c r="C232" s="338" t="s">
        <v>37</v>
      </c>
      <c r="D232" s="339">
        <v>0.12</v>
      </c>
      <c r="E232" s="339"/>
      <c r="F232" s="339">
        <v>0.12</v>
      </c>
      <c r="G232" s="414">
        <f>SUM(M232:AR232)</f>
        <v>0.12</v>
      </c>
      <c r="H232" s="413" t="s">
        <v>5</v>
      </c>
      <c r="I232" s="413" t="s">
        <v>7</v>
      </c>
      <c r="J232" s="413"/>
      <c r="K232" s="413" t="str">
        <f t="shared" si="30"/>
        <v xml:space="preserve">LUC, </v>
      </c>
      <c r="L232" s="413" t="str">
        <f t="shared" si="31"/>
        <v>LUC:0,12;</v>
      </c>
      <c r="M232" s="339">
        <v>0.12</v>
      </c>
      <c r="N232" s="339"/>
      <c r="O232" s="339"/>
      <c r="P232" s="339"/>
      <c r="Q232" s="339"/>
      <c r="R232" s="339"/>
      <c r="S232" s="339"/>
      <c r="T232" s="339"/>
      <c r="U232" s="339"/>
      <c r="V232" s="339"/>
      <c r="W232" s="339"/>
      <c r="X232" s="339"/>
      <c r="Y232" s="339"/>
      <c r="Z232" s="339"/>
      <c r="AA232" s="339"/>
      <c r="AB232" s="339"/>
      <c r="AC232" s="339"/>
      <c r="AD232" s="339"/>
      <c r="AE232" s="339"/>
      <c r="AF232" s="339"/>
      <c r="AG232" s="339"/>
      <c r="AH232" s="339"/>
      <c r="AI232" s="339"/>
      <c r="AJ232" s="339"/>
      <c r="AK232" s="339"/>
      <c r="AL232" s="339"/>
      <c r="AM232" s="339"/>
      <c r="AN232" s="339"/>
      <c r="AO232" s="339"/>
      <c r="AP232" s="339"/>
      <c r="AQ232" s="339"/>
      <c r="AR232" s="339"/>
      <c r="AS232" s="339"/>
      <c r="AT232" s="339"/>
      <c r="AU232" s="339"/>
      <c r="AV232" s="338" t="s">
        <v>309</v>
      </c>
      <c r="AW232" s="338" t="s">
        <v>309</v>
      </c>
      <c r="AX232" s="432" t="s">
        <v>605</v>
      </c>
      <c r="AY232" s="433" t="s">
        <v>605</v>
      </c>
      <c r="AZ232" s="434" t="s">
        <v>1319</v>
      </c>
      <c r="BA232" s="432"/>
      <c r="BB232" s="432"/>
      <c r="BC232" s="478" t="s">
        <v>316</v>
      </c>
      <c r="BD232" s="478"/>
      <c r="BE232" s="478"/>
      <c r="BF232" s="478" t="s">
        <v>263</v>
      </c>
      <c r="BG232" s="478"/>
      <c r="BH232" s="432"/>
    </row>
    <row r="233" spans="1:62" ht="42" customHeight="1">
      <c r="A233" s="344">
        <f>SUBTOTAL(3,C$11:$C233)</f>
        <v>155</v>
      </c>
      <c r="B233" s="337" t="s">
        <v>622</v>
      </c>
      <c r="C233" s="338" t="s">
        <v>37</v>
      </c>
      <c r="D233" s="339">
        <v>0.65</v>
      </c>
      <c r="E233" s="339">
        <v>0.48</v>
      </c>
      <c r="F233" s="339">
        <v>0.17</v>
      </c>
      <c r="G233" s="414">
        <f>SUM(M233:AR233)</f>
        <v>0.16999999999999998</v>
      </c>
      <c r="H233" s="413" t="s">
        <v>1117</v>
      </c>
      <c r="I233" s="413" t="s">
        <v>1118</v>
      </c>
      <c r="J233" s="413"/>
      <c r="K233" s="413" t="str">
        <f t="shared" si="30"/>
        <v xml:space="preserve">LUC, HNK, ONT, </v>
      </c>
      <c r="L233" s="413" t="str">
        <f t="shared" si="31"/>
        <v>LUC:0,12;HNK:0,02;ONT:0,03;</v>
      </c>
      <c r="M233" s="339">
        <v>0.12</v>
      </c>
      <c r="N233" s="339"/>
      <c r="O233" s="339">
        <v>0.02</v>
      </c>
      <c r="P233" s="339"/>
      <c r="Q233" s="339"/>
      <c r="R233" s="339"/>
      <c r="S233" s="339"/>
      <c r="T233" s="339"/>
      <c r="U233" s="339"/>
      <c r="V233" s="339"/>
      <c r="W233" s="339"/>
      <c r="X233" s="339"/>
      <c r="Y233" s="339"/>
      <c r="Z233" s="339"/>
      <c r="AA233" s="339"/>
      <c r="AB233" s="339"/>
      <c r="AC233" s="339"/>
      <c r="AD233" s="339"/>
      <c r="AE233" s="339"/>
      <c r="AF233" s="339"/>
      <c r="AG233" s="339"/>
      <c r="AH233" s="339"/>
      <c r="AI233" s="339"/>
      <c r="AJ233" s="339"/>
      <c r="AK233" s="339"/>
      <c r="AL233" s="339">
        <v>0.03</v>
      </c>
      <c r="AM233" s="339"/>
      <c r="AN233" s="339"/>
      <c r="AO233" s="339"/>
      <c r="AP233" s="339"/>
      <c r="AQ233" s="339"/>
      <c r="AR233" s="339"/>
      <c r="AS233" s="339"/>
      <c r="AT233" s="339"/>
      <c r="AU233" s="339"/>
      <c r="AV233" s="338" t="s">
        <v>300</v>
      </c>
      <c r="AW233" s="338" t="s">
        <v>300</v>
      </c>
      <c r="AX233" s="351" t="s">
        <v>623</v>
      </c>
      <c r="AY233" s="260" t="s">
        <v>623</v>
      </c>
      <c r="AZ233" s="181" t="s">
        <v>1328</v>
      </c>
      <c r="BA233" s="351"/>
      <c r="BB233" s="351"/>
      <c r="BC233" s="478" t="s">
        <v>316</v>
      </c>
      <c r="BD233" s="478"/>
      <c r="BE233" s="478"/>
      <c r="BF233" s="478" t="s">
        <v>263</v>
      </c>
      <c r="BG233" s="478"/>
      <c r="BH233" s="351"/>
    </row>
    <row r="234" spans="1:62" ht="42" customHeight="1">
      <c r="A234" s="344">
        <f>SUBTOTAL(3,C$11:$C234)</f>
        <v>156</v>
      </c>
      <c r="B234" s="337" t="s">
        <v>624</v>
      </c>
      <c r="C234" s="338" t="s">
        <v>37</v>
      </c>
      <c r="D234" s="339">
        <v>1.1099999999999999</v>
      </c>
      <c r="E234" s="339">
        <v>0.72</v>
      </c>
      <c r="F234" s="339">
        <v>0.39</v>
      </c>
      <c r="G234" s="414">
        <f>SUM(M234:AR234)</f>
        <v>0.39</v>
      </c>
      <c r="H234" s="413" t="s">
        <v>1329</v>
      </c>
      <c r="I234" s="413" t="s">
        <v>1329</v>
      </c>
      <c r="J234" s="413"/>
      <c r="K234" s="413" t="str">
        <f t="shared" si="30"/>
        <v xml:space="preserve">NTS, ONT, </v>
      </c>
      <c r="L234" s="413" t="str">
        <f t="shared" si="31"/>
        <v>NTS:0,16;ONT:0,23;</v>
      </c>
      <c r="M234" s="339"/>
      <c r="N234" s="339"/>
      <c r="O234" s="339"/>
      <c r="P234" s="339"/>
      <c r="Q234" s="339">
        <v>0.16</v>
      </c>
      <c r="R234" s="339"/>
      <c r="S234" s="339"/>
      <c r="T234" s="339"/>
      <c r="U234" s="339"/>
      <c r="V234" s="339"/>
      <c r="W234" s="339"/>
      <c r="X234" s="339"/>
      <c r="Y234" s="339"/>
      <c r="Z234" s="339"/>
      <c r="AA234" s="339"/>
      <c r="AB234" s="339"/>
      <c r="AC234" s="339"/>
      <c r="AD234" s="339"/>
      <c r="AE234" s="339"/>
      <c r="AF234" s="339"/>
      <c r="AG234" s="339"/>
      <c r="AH234" s="339"/>
      <c r="AI234" s="339"/>
      <c r="AJ234" s="339"/>
      <c r="AK234" s="339"/>
      <c r="AL234" s="339">
        <v>0.23</v>
      </c>
      <c r="AM234" s="339"/>
      <c r="AN234" s="339"/>
      <c r="AO234" s="339"/>
      <c r="AP234" s="339"/>
      <c r="AQ234" s="339"/>
      <c r="AR234" s="339"/>
      <c r="AS234" s="339"/>
      <c r="AT234" s="339"/>
      <c r="AU234" s="339"/>
      <c r="AV234" s="338" t="s">
        <v>286</v>
      </c>
      <c r="AW234" s="338" t="s">
        <v>286</v>
      </c>
      <c r="AX234" s="351" t="s">
        <v>625</v>
      </c>
      <c r="AY234" s="260" t="s">
        <v>625</v>
      </c>
      <c r="AZ234" s="181" t="s">
        <v>1330</v>
      </c>
      <c r="BA234" s="351"/>
      <c r="BB234" s="351"/>
      <c r="BC234" s="478" t="s">
        <v>316</v>
      </c>
      <c r="BD234" s="478"/>
      <c r="BE234" s="478"/>
      <c r="BF234" s="478" t="s">
        <v>263</v>
      </c>
      <c r="BG234" s="478"/>
      <c r="BH234" s="351"/>
    </row>
    <row r="235" spans="1:62" ht="29.15" customHeight="1">
      <c r="A235" s="172" t="s">
        <v>1727</v>
      </c>
      <c r="B235" s="159" t="s">
        <v>203</v>
      </c>
      <c r="C235" s="158"/>
      <c r="D235" s="351"/>
      <c r="E235" s="351"/>
      <c r="F235" s="361"/>
      <c r="G235" s="414"/>
      <c r="H235" s="413"/>
      <c r="I235" s="413"/>
      <c r="J235" s="413"/>
      <c r="K235" s="413" t="str">
        <f t="shared" si="30"/>
        <v/>
      </c>
      <c r="L235" s="413" t="str">
        <f t="shared" si="31"/>
        <v/>
      </c>
      <c r="M235" s="361"/>
      <c r="N235" s="361"/>
      <c r="O235" s="361"/>
      <c r="P235" s="361"/>
      <c r="Q235" s="361"/>
      <c r="R235" s="361"/>
      <c r="S235" s="361"/>
      <c r="T235" s="361"/>
      <c r="U235" s="361"/>
      <c r="V235" s="361"/>
      <c r="W235" s="361"/>
      <c r="X235" s="361"/>
      <c r="Y235" s="361"/>
      <c r="Z235" s="361"/>
      <c r="AA235" s="361"/>
      <c r="AB235" s="361"/>
      <c r="AC235" s="361"/>
      <c r="AD235" s="361"/>
      <c r="AE235" s="361"/>
      <c r="AF235" s="361"/>
      <c r="AG235" s="361"/>
      <c r="AH235" s="361"/>
      <c r="AI235" s="361"/>
      <c r="AJ235" s="361"/>
      <c r="AK235" s="361"/>
      <c r="AL235" s="361"/>
      <c r="AM235" s="361"/>
      <c r="AN235" s="361"/>
      <c r="AO235" s="361"/>
      <c r="AP235" s="361"/>
      <c r="AQ235" s="361"/>
      <c r="AR235" s="361"/>
      <c r="AS235" s="361"/>
      <c r="AT235" s="361"/>
      <c r="AU235" s="361"/>
      <c r="AV235" s="351"/>
      <c r="AW235" s="351"/>
      <c r="AX235" s="351"/>
      <c r="AY235" s="260"/>
      <c r="AZ235" s="181"/>
      <c r="BA235" s="351"/>
      <c r="BB235" s="351"/>
      <c r="BC235" s="156"/>
      <c r="BD235" s="156"/>
      <c r="BE235" s="156"/>
      <c r="BF235" s="156"/>
      <c r="BG235" s="156"/>
      <c r="BH235" s="351"/>
    </row>
    <row r="236" spans="1:62" s="179" customFormat="1" ht="24.65" customHeight="1">
      <c r="A236" s="145"/>
      <c r="B236" s="163" t="s">
        <v>1757</v>
      </c>
      <c r="C236" s="164"/>
      <c r="D236" s="368"/>
      <c r="E236" s="368"/>
      <c r="F236" s="368"/>
      <c r="G236" s="410"/>
      <c r="H236" s="411"/>
      <c r="I236" s="411"/>
      <c r="J236" s="411"/>
      <c r="K236" s="411"/>
      <c r="L236" s="411"/>
      <c r="M236" s="368"/>
      <c r="N236" s="368"/>
      <c r="O236" s="368"/>
      <c r="P236" s="368"/>
      <c r="Q236" s="368"/>
      <c r="R236" s="368"/>
      <c r="S236" s="368"/>
      <c r="T236" s="368"/>
      <c r="U236" s="368"/>
      <c r="V236" s="368"/>
      <c r="W236" s="368"/>
      <c r="X236" s="368"/>
      <c r="Y236" s="368"/>
      <c r="Z236" s="368"/>
      <c r="AA236" s="368"/>
      <c r="AB236" s="368"/>
      <c r="AC236" s="368"/>
      <c r="AD236" s="368"/>
      <c r="AE236" s="368"/>
      <c r="AF236" s="368"/>
      <c r="AG236" s="368"/>
      <c r="AH236" s="368"/>
      <c r="AI236" s="368"/>
      <c r="AJ236" s="368"/>
      <c r="AK236" s="368"/>
      <c r="AL236" s="368"/>
      <c r="AM236" s="368"/>
      <c r="AN236" s="368"/>
      <c r="AO236" s="368"/>
      <c r="AP236" s="368"/>
      <c r="AQ236" s="368"/>
      <c r="AR236" s="368"/>
      <c r="AS236" s="368"/>
      <c r="AT236" s="368"/>
      <c r="AU236" s="368"/>
      <c r="AV236" s="368"/>
      <c r="AW236" s="368"/>
      <c r="AX236" s="368"/>
      <c r="AY236" s="257"/>
      <c r="AZ236" s="178"/>
      <c r="BA236" s="368"/>
      <c r="BB236" s="368"/>
      <c r="BC236" s="165"/>
      <c r="BD236" s="165"/>
      <c r="BE236" s="165"/>
      <c r="BF236" s="165"/>
      <c r="BG236" s="165"/>
      <c r="BH236" s="368"/>
      <c r="BI236" s="412"/>
      <c r="BJ236" s="412"/>
    </row>
    <row r="237" spans="1:62" ht="42" customHeight="1">
      <c r="A237" s="344">
        <f>SUBTOTAL(3,C$11:$C237)</f>
        <v>157</v>
      </c>
      <c r="B237" s="166" t="s">
        <v>626</v>
      </c>
      <c r="C237" s="338" t="s">
        <v>39</v>
      </c>
      <c r="D237" s="339">
        <v>0.56999999999999995</v>
      </c>
      <c r="E237" s="339"/>
      <c r="F237" s="339">
        <v>0.56999999999999995</v>
      </c>
      <c r="G237" s="414">
        <f t="shared" ref="G237:G246" si="32">SUM(M237:AR237)</f>
        <v>0.56999999999999995</v>
      </c>
      <c r="H237" s="413" t="s">
        <v>5</v>
      </c>
      <c r="I237" s="413" t="s">
        <v>7</v>
      </c>
      <c r="J237" s="413"/>
      <c r="K237" s="413" t="str">
        <f t="shared" ref="K237:K246" si="33">IF(M237&lt;&gt;0,$M$5&amp;", ","")&amp;IF(N237&lt;&gt;0,$N$5&amp;", ","")&amp;IF(O237&lt;&gt;0,O$5&amp;", ","")&amp;IF(P237&lt;&gt;0,P$5&amp;", ","")&amp;IF(Q237&lt;&gt;0,Q$5&amp;", ","")&amp;IF(R237&lt;&gt;0,R$5&amp;", ","")&amp;IF(S237&lt;&gt;0,S$5&amp;", ","")&amp;IF(T237&lt;&gt;0,T$5&amp;", ","")&amp;IF(U237&lt;&gt;0,U$5&amp;", ","")&amp;IF(V237&lt;&gt;0,V$5&amp;", ","")&amp;IF(W237&lt;&gt;0,W$5&amp;", ","")&amp;IF(X237&lt;&gt;0,X$5&amp;", ","")&amp;IF(Y237&lt;&gt;0,Y$5&amp;", ","")&amp;IF(Z237&lt;&gt;0,Z$5&amp;", ","")&amp;IF(AA237&lt;&gt;0,AA$5&amp;", ","")&amp;IF(AB237&lt;&gt;0,AB$5&amp;", ","")&amp;IF(AC237&lt;&gt;0,AC$5&amp;", ","")&amp;IF(AD237&lt;&gt;0,AD$5&amp;", ","")&amp;IF(AE237&lt;&gt;0,AE$5&amp;", ","")&amp;IF(AF237&lt;&gt;0,AF$5&amp;", ","")&amp;IF(AG237&lt;&gt;0,AG$5&amp;", ","")&amp;IF(AH237&lt;&gt;0,AH$5&amp;", ","")&amp;IF(AI237&lt;&gt;0,AI$5&amp;", ","")&amp;IF(AJ237&lt;&gt;0,AJ$5&amp;", ","")&amp;IF(AK237&lt;&gt;0,AK$5&amp;", ","")&amp;IF(AL237&lt;&gt;0,AL$5&amp;", ","")&amp;IF(AM237&lt;&gt;0,AM$5&amp;", ","")&amp;IF(AN237&lt;&gt;0,AN$5&amp;", ","")&amp;IF(AO237&lt;&gt;0,AO$5&amp;", ","")&amp;IF(AP237&lt;&gt;0,AP$5&amp;", ","")&amp;IF(AQ237&lt;&gt;0,AQ$5&amp;", ","")&amp;IF(AR237&lt;&gt;0,AR$5,"")&amp;IF(AS237&lt;&gt;0,AS$5,"")&amp;IF(AT237&lt;&gt;0,AT$5,"")&amp;IF(AU237&lt;&gt;0,AU$5,"")</f>
        <v xml:space="preserve">LUC, </v>
      </c>
      <c r="L237" s="413" t="str">
        <f t="shared" ref="L237:L246" si="34">IF(M237="","",$M$5&amp;":"&amp;M237&amp;";")&amp;IF(N237="","",$N$5&amp;":"&amp;N237&amp;";")&amp;IF(O237="","",$O$5&amp;":"&amp;O237&amp;";")&amp;IF(P237="","",$P$5&amp;":"&amp;P237&amp;";")&amp;IF(Q237="","",$Q$5&amp;":"&amp;Q237&amp;";")&amp;IF(R237="","",$R$5&amp;":"&amp;R237&amp;";")&amp;IF(S237="","",$S$5&amp;":"&amp;S237&amp;";")&amp;IF(T237="","",$T$5&amp;":"&amp;T237&amp;";")&amp;IF(U237="","",$U$5&amp;":"&amp;U237&amp;";")&amp;IF(V237="","",$V$5&amp;":"&amp;V237&amp;";")&amp;IF(W237="","",$W$5&amp;":"&amp;W237&amp;";")&amp;IF(X237="","",$X$5&amp;":"&amp;X237&amp;";")&amp;IF(Y237="","",$Y$5&amp;":"&amp;Y237&amp;";")&amp;IF(Z237="","",$Z$5&amp;":"&amp;Z237&amp;";")&amp;IF(AA237="","",$AA$5&amp;":"&amp;AA237&amp;";")&amp;IF(AB237="","",$AB$5&amp;":"&amp;AB237&amp;";")&amp;IF(AC237="","",$AC$5&amp;":"&amp;AC237&amp;";")&amp;IF(AD237="","",$AD$5&amp;":"&amp;AD237&amp;";")&amp;IF(AE237="","",$AE$5&amp;":"&amp;AE237&amp;";")&amp;IF(AF237="","",$AF$5&amp;":"&amp;AF237&amp;";")&amp;IF(AG237="","",$AG$5&amp;":"&amp;AG237&amp;";")&amp;IF(AH237="","",$AH$5&amp;":"&amp;AH237&amp;";")&amp;IF(AI237="","",$AI$5&amp;":"&amp;AI237&amp;";")&amp;IF(AJ237="","",$AJ$5&amp;":"&amp;AJ237&amp;";")&amp;IF(AK237="","",$AK$5&amp;":"&amp;AK237&amp;";")&amp;IF(AL237="","",$AL$5&amp;":"&amp;AL237&amp;";")&amp;IF(AM237="","",$AM$5&amp;":"&amp;AM237&amp;";")&amp;IF(AN237="","",$AN$5&amp;":"&amp;AN237&amp;";")&amp;IF(AO237="","",$AO$5&amp;":"&amp;AO237&amp;";")&amp;IF(AP237="","",$AP$5&amp;":"&amp;AP237&amp;";")&amp;IF(AQ237="","",$AQ$5&amp;":"&amp;AQ237&amp;";")&amp;IF(AR237="","",$AR$5&amp;":"&amp;AR237&amp;";")&amp;IF(AS237="","",$AS$5&amp;":"&amp;AS237&amp;";")&amp;IF(AT237="","",$AT$5&amp;":"&amp;AT237&amp;";")&amp;IF(AU237="","",$AU$5&amp;":"&amp;AU237&amp;";")</f>
        <v>LUC:0,57;</v>
      </c>
      <c r="M237" s="339">
        <v>0.56999999999999995</v>
      </c>
      <c r="N237" s="339"/>
      <c r="O237" s="339"/>
      <c r="P237" s="339"/>
      <c r="Q237" s="339"/>
      <c r="R237" s="339"/>
      <c r="S237" s="339"/>
      <c r="T237" s="339"/>
      <c r="U237" s="339"/>
      <c r="V237" s="339"/>
      <c r="W237" s="339"/>
      <c r="X237" s="339"/>
      <c r="Y237" s="339"/>
      <c r="Z237" s="339"/>
      <c r="AA237" s="339"/>
      <c r="AB237" s="339"/>
      <c r="AC237" s="339"/>
      <c r="AD237" s="339"/>
      <c r="AE237" s="339"/>
      <c r="AF237" s="339"/>
      <c r="AG237" s="339"/>
      <c r="AH237" s="339"/>
      <c r="AI237" s="339"/>
      <c r="AJ237" s="339"/>
      <c r="AK237" s="339"/>
      <c r="AL237" s="339"/>
      <c r="AM237" s="339"/>
      <c r="AN237" s="339"/>
      <c r="AO237" s="339"/>
      <c r="AP237" s="339"/>
      <c r="AQ237" s="339"/>
      <c r="AR237" s="339"/>
      <c r="AS237" s="339"/>
      <c r="AT237" s="339"/>
      <c r="AU237" s="339"/>
      <c r="AV237" s="338" t="s">
        <v>258</v>
      </c>
      <c r="AW237" s="338" t="s">
        <v>258</v>
      </c>
      <c r="AX237" s="350" t="s">
        <v>627</v>
      </c>
      <c r="AY237" s="356" t="s">
        <v>627</v>
      </c>
      <c r="AZ237" s="352" t="s">
        <v>1334</v>
      </c>
      <c r="BA237" s="350"/>
      <c r="BB237" s="350"/>
      <c r="BC237" s="195" t="s">
        <v>270</v>
      </c>
      <c r="BD237" s="195"/>
      <c r="BE237" s="195"/>
      <c r="BF237" s="195" t="s">
        <v>263</v>
      </c>
      <c r="BG237" s="195"/>
      <c r="BH237" s="350"/>
    </row>
    <row r="238" spans="1:62" ht="42" customHeight="1">
      <c r="A238" s="344">
        <f>SUBTOTAL(3,C$11:$C238)</f>
        <v>158</v>
      </c>
      <c r="B238" s="337" t="s">
        <v>628</v>
      </c>
      <c r="C238" s="338" t="s">
        <v>39</v>
      </c>
      <c r="D238" s="361">
        <v>1.01</v>
      </c>
      <c r="E238" s="366">
        <v>0.49</v>
      </c>
      <c r="F238" s="361">
        <v>0.52</v>
      </c>
      <c r="G238" s="414">
        <f t="shared" si="32"/>
        <v>0.52</v>
      </c>
      <c r="H238" s="413" t="s">
        <v>5</v>
      </c>
      <c r="I238" s="413" t="s">
        <v>7</v>
      </c>
      <c r="J238" s="413"/>
      <c r="K238" s="413" t="str">
        <f t="shared" si="33"/>
        <v xml:space="preserve">LUC, </v>
      </c>
      <c r="L238" s="413" t="str">
        <f t="shared" si="34"/>
        <v>LUC:0,52;</v>
      </c>
      <c r="M238" s="361">
        <v>0.52</v>
      </c>
      <c r="N238" s="361"/>
      <c r="O238" s="361"/>
      <c r="P238" s="361"/>
      <c r="Q238" s="361"/>
      <c r="R238" s="361"/>
      <c r="S238" s="361"/>
      <c r="T238" s="361"/>
      <c r="U238" s="361"/>
      <c r="V238" s="361"/>
      <c r="W238" s="361"/>
      <c r="X238" s="361"/>
      <c r="Y238" s="361"/>
      <c r="Z238" s="361"/>
      <c r="AA238" s="361"/>
      <c r="AB238" s="361"/>
      <c r="AC238" s="361"/>
      <c r="AD238" s="361"/>
      <c r="AE238" s="361"/>
      <c r="AF238" s="361"/>
      <c r="AG238" s="361"/>
      <c r="AH238" s="361"/>
      <c r="AI238" s="361"/>
      <c r="AJ238" s="361"/>
      <c r="AK238" s="361"/>
      <c r="AL238" s="361"/>
      <c r="AM238" s="361"/>
      <c r="AN238" s="361"/>
      <c r="AO238" s="361"/>
      <c r="AP238" s="361"/>
      <c r="AQ238" s="361"/>
      <c r="AR238" s="361"/>
      <c r="AS238" s="361"/>
      <c r="AT238" s="361"/>
      <c r="AU238" s="361"/>
      <c r="AV238" s="338" t="s">
        <v>289</v>
      </c>
      <c r="AW238" s="338" t="s">
        <v>289</v>
      </c>
      <c r="AX238" s="350" t="s">
        <v>629</v>
      </c>
      <c r="AY238" s="356" t="s">
        <v>629</v>
      </c>
      <c r="AZ238" s="352" t="s">
        <v>1335</v>
      </c>
      <c r="BA238" s="350"/>
      <c r="BB238" s="350"/>
      <c r="BC238" s="195" t="s">
        <v>270</v>
      </c>
      <c r="BD238" s="195"/>
      <c r="BE238" s="195"/>
      <c r="BF238" s="195" t="s">
        <v>263</v>
      </c>
      <c r="BG238" s="195"/>
      <c r="BH238" s="350"/>
    </row>
    <row r="239" spans="1:62" ht="42" customHeight="1">
      <c r="A239" s="344">
        <f>SUBTOTAL(3,C$11:$C239)</f>
        <v>159</v>
      </c>
      <c r="B239" s="337" t="s">
        <v>630</v>
      </c>
      <c r="C239" s="338" t="s">
        <v>39</v>
      </c>
      <c r="D239" s="339">
        <v>2</v>
      </c>
      <c r="E239" s="339">
        <v>0.96109999999999995</v>
      </c>
      <c r="F239" s="339">
        <v>1.04</v>
      </c>
      <c r="G239" s="414">
        <f t="shared" si="32"/>
        <v>1.04</v>
      </c>
      <c r="H239" s="413" t="s">
        <v>5</v>
      </c>
      <c r="I239" s="413" t="s">
        <v>7</v>
      </c>
      <c r="J239" s="413"/>
      <c r="K239" s="413" t="str">
        <f t="shared" si="33"/>
        <v xml:space="preserve">LUC, </v>
      </c>
      <c r="L239" s="413" t="str">
        <f t="shared" si="34"/>
        <v>LUC:1,04;</v>
      </c>
      <c r="M239" s="339">
        <v>1.04</v>
      </c>
      <c r="N239" s="339"/>
      <c r="O239" s="339"/>
      <c r="P239" s="339"/>
      <c r="Q239" s="339"/>
      <c r="R239" s="339"/>
      <c r="S239" s="339"/>
      <c r="T239" s="339"/>
      <c r="U239" s="339"/>
      <c r="V239" s="339"/>
      <c r="W239" s="339"/>
      <c r="X239" s="339"/>
      <c r="Y239" s="339"/>
      <c r="Z239" s="339"/>
      <c r="AA239" s="339"/>
      <c r="AB239" s="339"/>
      <c r="AC239" s="339"/>
      <c r="AD239" s="339"/>
      <c r="AE239" s="339"/>
      <c r="AF239" s="339"/>
      <c r="AG239" s="339"/>
      <c r="AH239" s="339"/>
      <c r="AI239" s="339"/>
      <c r="AJ239" s="339"/>
      <c r="AK239" s="339"/>
      <c r="AL239" s="339"/>
      <c r="AM239" s="339"/>
      <c r="AN239" s="339"/>
      <c r="AO239" s="339"/>
      <c r="AP239" s="339"/>
      <c r="AQ239" s="339"/>
      <c r="AR239" s="339"/>
      <c r="AS239" s="339"/>
      <c r="AT239" s="339"/>
      <c r="AU239" s="339"/>
      <c r="AV239" s="338" t="s">
        <v>306</v>
      </c>
      <c r="AW239" s="338" t="s">
        <v>306</v>
      </c>
      <c r="AX239" s="350" t="s">
        <v>631</v>
      </c>
      <c r="AY239" s="356" t="s">
        <v>631</v>
      </c>
      <c r="AZ239" s="352" t="s">
        <v>1336</v>
      </c>
      <c r="BA239" s="350"/>
      <c r="BB239" s="350"/>
      <c r="BC239" s="195" t="s">
        <v>270</v>
      </c>
      <c r="BD239" s="195"/>
      <c r="BE239" s="195"/>
      <c r="BF239" s="195" t="s">
        <v>263</v>
      </c>
      <c r="BG239" s="195"/>
      <c r="BH239" s="350"/>
    </row>
    <row r="240" spans="1:62" ht="57">
      <c r="A240" s="344">
        <f>SUBTOTAL(3,C$11:$C240)</f>
        <v>160</v>
      </c>
      <c r="B240" s="337" t="s">
        <v>632</v>
      </c>
      <c r="C240" s="338" t="s">
        <v>39</v>
      </c>
      <c r="D240" s="339">
        <v>1.1394</v>
      </c>
      <c r="E240" s="339"/>
      <c r="F240" s="339">
        <v>1.1394</v>
      </c>
      <c r="G240" s="414">
        <f t="shared" si="32"/>
        <v>1.1400000000000001</v>
      </c>
      <c r="H240" s="413" t="s">
        <v>1102</v>
      </c>
      <c r="I240" s="413" t="s">
        <v>1103</v>
      </c>
      <c r="J240" s="413"/>
      <c r="K240" s="413" t="str">
        <f t="shared" si="33"/>
        <v xml:space="preserve">LUC, NTD, </v>
      </c>
      <c r="L240" s="413" t="str">
        <f t="shared" si="34"/>
        <v>LUC:0,91;NTD:0,23;</v>
      </c>
      <c r="M240" s="339">
        <v>0.91</v>
      </c>
      <c r="N240" s="339"/>
      <c r="O240" s="339"/>
      <c r="P240" s="339"/>
      <c r="Q240" s="339"/>
      <c r="R240" s="339"/>
      <c r="S240" s="339"/>
      <c r="T240" s="339"/>
      <c r="U240" s="339"/>
      <c r="V240" s="339"/>
      <c r="W240" s="339"/>
      <c r="X240" s="339"/>
      <c r="Y240" s="339"/>
      <c r="Z240" s="339"/>
      <c r="AA240" s="339"/>
      <c r="AB240" s="339"/>
      <c r="AC240" s="339"/>
      <c r="AD240" s="339"/>
      <c r="AE240" s="339"/>
      <c r="AF240" s="339"/>
      <c r="AG240" s="339"/>
      <c r="AH240" s="339">
        <v>0.23</v>
      </c>
      <c r="AI240" s="339"/>
      <c r="AJ240" s="339"/>
      <c r="AK240" s="339"/>
      <c r="AL240" s="339"/>
      <c r="AM240" s="339"/>
      <c r="AN240" s="339"/>
      <c r="AO240" s="339"/>
      <c r="AP240" s="339"/>
      <c r="AQ240" s="339"/>
      <c r="AR240" s="339"/>
      <c r="AS240" s="339"/>
      <c r="AT240" s="339"/>
      <c r="AU240" s="339"/>
      <c r="AV240" s="338" t="s">
        <v>306</v>
      </c>
      <c r="AW240" s="338" t="s">
        <v>306</v>
      </c>
      <c r="AX240" s="350" t="s">
        <v>633</v>
      </c>
      <c r="AY240" s="356" t="s">
        <v>633</v>
      </c>
      <c r="AZ240" s="352" t="s">
        <v>1337</v>
      </c>
      <c r="BA240" s="350"/>
      <c r="BB240" s="350"/>
      <c r="BC240" s="195" t="s">
        <v>270</v>
      </c>
      <c r="BD240" s="195"/>
      <c r="BE240" s="195"/>
      <c r="BF240" s="195" t="s">
        <v>263</v>
      </c>
      <c r="BG240" s="195"/>
      <c r="BH240" s="350"/>
    </row>
    <row r="241" spans="1:62" ht="42" customHeight="1">
      <c r="A241" s="344">
        <f>SUBTOTAL(3,C$11:$C241)</f>
        <v>161</v>
      </c>
      <c r="B241" s="337" t="s">
        <v>634</v>
      </c>
      <c r="C241" s="338" t="s">
        <v>39</v>
      </c>
      <c r="D241" s="339">
        <v>0.8</v>
      </c>
      <c r="E241" s="339">
        <v>0.6</v>
      </c>
      <c r="F241" s="339">
        <v>0.2</v>
      </c>
      <c r="G241" s="414">
        <f t="shared" si="32"/>
        <v>0.2</v>
      </c>
      <c r="H241" s="413" t="s">
        <v>1135</v>
      </c>
      <c r="I241" s="413" t="s">
        <v>1136</v>
      </c>
      <c r="J241" s="413"/>
      <c r="K241" s="413" t="str">
        <f t="shared" si="33"/>
        <v xml:space="preserve">LUC, ONT, </v>
      </c>
      <c r="L241" s="413" t="str">
        <f t="shared" si="34"/>
        <v>LUC:0,19;ONT:0,01;</v>
      </c>
      <c r="M241" s="339">
        <v>0.19</v>
      </c>
      <c r="N241" s="339"/>
      <c r="O241" s="339"/>
      <c r="P241" s="339"/>
      <c r="Q241" s="339"/>
      <c r="R241" s="339"/>
      <c r="S241" s="339"/>
      <c r="T241" s="339"/>
      <c r="U241" s="339"/>
      <c r="V241" s="339"/>
      <c r="W241" s="339"/>
      <c r="X241" s="339"/>
      <c r="Y241" s="339"/>
      <c r="Z241" s="339"/>
      <c r="AA241" s="339"/>
      <c r="AB241" s="339"/>
      <c r="AC241" s="339"/>
      <c r="AD241" s="339"/>
      <c r="AE241" s="339"/>
      <c r="AF241" s="339"/>
      <c r="AG241" s="339"/>
      <c r="AH241" s="339"/>
      <c r="AI241" s="339"/>
      <c r="AJ241" s="339"/>
      <c r="AK241" s="339"/>
      <c r="AL241" s="339">
        <v>0.01</v>
      </c>
      <c r="AM241" s="339"/>
      <c r="AN241" s="339"/>
      <c r="AO241" s="339"/>
      <c r="AP241" s="339"/>
      <c r="AQ241" s="339"/>
      <c r="AR241" s="339"/>
      <c r="AS241" s="339"/>
      <c r="AT241" s="339"/>
      <c r="AU241" s="339"/>
      <c r="AV241" s="338" t="s">
        <v>300</v>
      </c>
      <c r="AW241" s="338" t="s">
        <v>300</v>
      </c>
      <c r="AX241" s="350" t="s">
        <v>635</v>
      </c>
      <c r="AY241" s="356" t="s">
        <v>635</v>
      </c>
      <c r="AZ241" s="352" t="s">
        <v>1338</v>
      </c>
      <c r="BA241" s="350"/>
      <c r="BB241" s="350"/>
      <c r="BC241" s="195" t="s">
        <v>270</v>
      </c>
      <c r="BD241" s="195"/>
      <c r="BE241" s="195"/>
      <c r="BF241" s="195" t="s">
        <v>263</v>
      </c>
      <c r="BG241" s="195"/>
      <c r="BH241" s="350"/>
    </row>
    <row r="242" spans="1:62" ht="42" customHeight="1">
      <c r="A242" s="344">
        <f>SUBTOTAL(3,C$11:$C242)</f>
        <v>162</v>
      </c>
      <c r="B242" s="337" t="s">
        <v>636</v>
      </c>
      <c r="C242" s="338" t="s">
        <v>39</v>
      </c>
      <c r="D242" s="339">
        <v>5</v>
      </c>
      <c r="E242" s="339"/>
      <c r="F242" s="339">
        <v>5</v>
      </c>
      <c r="G242" s="414">
        <f t="shared" si="32"/>
        <v>5.0039999999999996</v>
      </c>
      <c r="H242" s="413" t="s">
        <v>1339</v>
      </c>
      <c r="I242" s="413" t="s">
        <v>1340</v>
      </c>
      <c r="J242" s="413"/>
      <c r="K242" s="413" t="str">
        <f t="shared" si="33"/>
        <v xml:space="preserve">LUC, HNK, CLN, NTS, DGT, ONT, </v>
      </c>
      <c r="L242" s="413" t="str">
        <f t="shared" si="34"/>
        <v>LUC:3,004;HNK:0,7;CLN:0,3;NTS:0,4;DGT:0,1;ONT:0,5;</v>
      </c>
      <c r="M242" s="339">
        <v>3.004</v>
      </c>
      <c r="N242" s="339"/>
      <c r="O242" s="339">
        <v>0.7</v>
      </c>
      <c r="P242" s="339">
        <v>0.3</v>
      </c>
      <c r="Q242" s="339">
        <v>0.4</v>
      </c>
      <c r="R242" s="339"/>
      <c r="S242" s="339"/>
      <c r="T242" s="339"/>
      <c r="U242" s="339"/>
      <c r="V242" s="339"/>
      <c r="W242" s="339">
        <v>0.1</v>
      </c>
      <c r="X242" s="339"/>
      <c r="Y242" s="339"/>
      <c r="Z242" s="339"/>
      <c r="AA242" s="339"/>
      <c r="AB242" s="339"/>
      <c r="AC242" s="339"/>
      <c r="AD242" s="339"/>
      <c r="AE242" s="339"/>
      <c r="AF242" s="339"/>
      <c r="AG242" s="339"/>
      <c r="AH242" s="339"/>
      <c r="AI242" s="339"/>
      <c r="AJ242" s="339"/>
      <c r="AK242" s="339"/>
      <c r="AL242" s="339">
        <v>0.5</v>
      </c>
      <c r="AM242" s="339"/>
      <c r="AN242" s="339"/>
      <c r="AO242" s="339"/>
      <c r="AP242" s="339"/>
      <c r="AQ242" s="339"/>
      <c r="AR242" s="339"/>
      <c r="AS242" s="339"/>
      <c r="AT242" s="339"/>
      <c r="AU242" s="339"/>
      <c r="AV242" s="338" t="s">
        <v>309</v>
      </c>
      <c r="AW242" s="338" t="s">
        <v>309</v>
      </c>
      <c r="AX242" s="350" t="s">
        <v>1341</v>
      </c>
      <c r="AY242" s="356" t="s">
        <v>1341</v>
      </c>
      <c r="AZ242" s="352" t="s">
        <v>1342</v>
      </c>
      <c r="BA242" s="350"/>
      <c r="BB242" s="350"/>
      <c r="BC242" s="195" t="s">
        <v>270</v>
      </c>
      <c r="BD242" s="195"/>
      <c r="BE242" s="195"/>
      <c r="BF242" s="195" t="s">
        <v>263</v>
      </c>
      <c r="BG242" s="195"/>
      <c r="BH242" s="350"/>
    </row>
    <row r="243" spans="1:62" ht="57">
      <c r="A243" s="344">
        <f>SUBTOTAL(3,C$11:$C243)</f>
        <v>163</v>
      </c>
      <c r="B243" s="337" t="s">
        <v>637</v>
      </c>
      <c r="C243" s="338" t="s">
        <v>39</v>
      </c>
      <c r="D243" s="339">
        <v>1.79</v>
      </c>
      <c r="E243" s="339"/>
      <c r="F243" s="339">
        <v>1.79</v>
      </c>
      <c r="G243" s="414">
        <f t="shared" si="32"/>
        <v>1.79</v>
      </c>
      <c r="H243" s="413" t="s">
        <v>5</v>
      </c>
      <c r="I243" s="413" t="s">
        <v>8</v>
      </c>
      <c r="J243" s="413"/>
      <c r="K243" s="413" t="str">
        <f t="shared" si="33"/>
        <v xml:space="preserve">LUK, </v>
      </c>
      <c r="L243" s="413" t="str">
        <f t="shared" si="34"/>
        <v>LUK:1,79;</v>
      </c>
      <c r="M243" s="339"/>
      <c r="N243" s="339">
        <v>1.79</v>
      </c>
      <c r="O243" s="339"/>
      <c r="P243" s="339"/>
      <c r="Q243" s="339"/>
      <c r="R243" s="339"/>
      <c r="S243" s="339"/>
      <c r="T243" s="339"/>
      <c r="U243" s="339"/>
      <c r="V243" s="339"/>
      <c r="W243" s="339"/>
      <c r="X243" s="339"/>
      <c r="Y243" s="339"/>
      <c r="Z243" s="339"/>
      <c r="AA243" s="339"/>
      <c r="AB243" s="339"/>
      <c r="AC243" s="339"/>
      <c r="AD243" s="339"/>
      <c r="AE243" s="339"/>
      <c r="AF243" s="339"/>
      <c r="AG243" s="339"/>
      <c r="AH243" s="339"/>
      <c r="AI243" s="339"/>
      <c r="AJ243" s="339"/>
      <c r="AK243" s="339"/>
      <c r="AL243" s="339"/>
      <c r="AM243" s="339"/>
      <c r="AN243" s="339"/>
      <c r="AO243" s="339"/>
      <c r="AP243" s="339"/>
      <c r="AQ243" s="339"/>
      <c r="AR243" s="339"/>
      <c r="AS243" s="339"/>
      <c r="AT243" s="339"/>
      <c r="AU243" s="339"/>
      <c r="AV243" s="338" t="s">
        <v>266</v>
      </c>
      <c r="AW243" s="338" t="s">
        <v>266</v>
      </c>
      <c r="AX243" s="350" t="s">
        <v>638</v>
      </c>
      <c r="AY243" s="356" t="s">
        <v>638</v>
      </c>
      <c r="AZ243" s="352" t="s">
        <v>1343</v>
      </c>
      <c r="BA243" s="350"/>
      <c r="BB243" s="350"/>
      <c r="BC243" s="195" t="s">
        <v>270</v>
      </c>
      <c r="BD243" s="195"/>
      <c r="BE243" s="195"/>
      <c r="BF243" s="195"/>
      <c r="BG243" s="195" t="s">
        <v>263</v>
      </c>
      <c r="BH243" s="350"/>
    </row>
    <row r="244" spans="1:62" ht="42" customHeight="1">
      <c r="A244" s="344">
        <f>SUBTOTAL(3,C$11:$C244)</f>
        <v>164</v>
      </c>
      <c r="B244" s="337" t="s">
        <v>639</v>
      </c>
      <c r="C244" s="338" t="s">
        <v>39</v>
      </c>
      <c r="D244" s="339">
        <v>0.60970000000000002</v>
      </c>
      <c r="E244" s="339">
        <v>0.39839999999999998</v>
      </c>
      <c r="F244" s="339">
        <v>0.21129999999999999</v>
      </c>
      <c r="G244" s="414">
        <f t="shared" si="32"/>
        <v>0.21</v>
      </c>
      <c r="H244" s="413" t="s">
        <v>5</v>
      </c>
      <c r="I244" s="413" t="s">
        <v>7</v>
      </c>
      <c r="J244" s="413"/>
      <c r="K244" s="413" t="str">
        <f t="shared" si="33"/>
        <v xml:space="preserve">LUC, </v>
      </c>
      <c r="L244" s="413" t="str">
        <f t="shared" si="34"/>
        <v>LUC:0,21;</v>
      </c>
      <c r="M244" s="339">
        <v>0.21</v>
      </c>
      <c r="N244" s="339"/>
      <c r="O244" s="339"/>
      <c r="P244" s="339"/>
      <c r="Q244" s="339"/>
      <c r="R244" s="339"/>
      <c r="S244" s="339"/>
      <c r="T244" s="339"/>
      <c r="U244" s="339"/>
      <c r="V244" s="339"/>
      <c r="W244" s="339"/>
      <c r="X244" s="339"/>
      <c r="Y244" s="339"/>
      <c r="Z244" s="339"/>
      <c r="AA244" s="339"/>
      <c r="AB244" s="339"/>
      <c r="AC244" s="339"/>
      <c r="AD244" s="339"/>
      <c r="AE244" s="339"/>
      <c r="AF244" s="339"/>
      <c r="AG244" s="339"/>
      <c r="AH244" s="339"/>
      <c r="AI244" s="339"/>
      <c r="AJ244" s="339"/>
      <c r="AK244" s="339"/>
      <c r="AL244" s="339"/>
      <c r="AM244" s="339"/>
      <c r="AN244" s="339"/>
      <c r="AO244" s="339"/>
      <c r="AP244" s="339"/>
      <c r="AQ244" s="339"/>
      <c r="AR244" s="339"/>
      <c r="AS244" s="339"/>
      <c r="AT244" s="339"/>
      <c r="AU244" s="339"/>
      <c r="AV244" s="338" t="s">
        <v>283</v>
      </c>
      <c r="AW244" s="338" t="s">
        <v>283</v>
      </c>
      <c r="AX244" s="350" t="s">
        <v>640</v>
      </c>
      <c r="AY244" s="356" t="s">
        <v>640</v>
      </c>
      <c r="AZ244" s="352" t="s">
        <v>1344</v>
      </c>
      <c r="BA244" s="350"/>
      <c r="BB244" s="350"/>
      <c r="BC244" s="195" t="s">
        <v>270</v>
      </c>
      <c r="BD244" s="195"/>
      <c r="BE244" s="195"/>
      <c r="BF244" s="195" t="s">
        <v>263</v>
      </c>
      <c r="BG244" s="195"/>
      <c r="BH244" s="350"/>
    </row>
    <row r="245" spans="1:62" ht="42" customHeight="1">
      <c r="A245" s="344">
        <f>SUBTOTAL(3,C$11:$C245)</f>
        <v>165</v>
      </c>
      <c r="B245" s="337" t="s">
        <v>641</v>
      </c>
      <c r="C245" s="338" t="s">
        <v>39</v>
      </c>
      <c r="D245" s="339">
        <v>2.68</v>
      </c>
      <c r="E245" s="339">
        <v>2.5299999999999998</v>
      </c>
      <c r="F245" s="192">
        <v>0.15</v>
      </c>
      <c r="G245" s="414">
        <f t="shared" si="32"/>
        <v>0.15</v>
      </c>
      <c r="H245" s="413" t="s">
        <v>39</v>
      </c>
      <c r="I245" s="413" t="s">
        <v>39</v>
      </c>
      <c r="J245" s="413"/>
      <c r="K245" s="413" t="str">
        <f t="shared" si="33"/>
        <v xml:space="preserve">NTD, </v>
      </c>
      <c r="L245" s="413" t="str">
        <f t="shared" si="34"/>
        <v>NTD:0,15;</v>
      </c>
      <c r="M245" s="192"/>
      <c r="N245" s="192"/>
      <c r="O245" s="192"/>
      <c r="P245" s="192"/>
      <c r="Q245" s="192"/>
      <c r="R245" s="192"/>
      <c r="S245" s="192"/>
      <c r="T245" s="192"/>
      <c r="U245" s="192"/>
      <c r="V245" s="192"/>
      <c r="W245" s="192"/>
      <c r="X245" s="192"/>
      <c r="Y245" s="192"/>
      <c r="Z245" s="192"/>
      <c r="AA245" s="192"/>
      <c r="AB245" s="192"/>
      <c r="AC245" s="192"/>
      <c r="AD245" s="192"/>
      <c r="AE245" s="192"/>
      <c r="AF245" s="192"/>
      <c r="AG245" s="192"/>
      <c r="AH245" s="192">
        <v>0.15</v>
      </c>
      <c r="AI245" s="192"/>
      <c r="AJ245" s="192"/>
      <c r="AK245" s="192"/>
      <c r="AL245" s="192"/>
      <c r="AM245" s="192"/>
      <c r="AN245" s="192"/>
      <c r="AO245" s="192"/>
      <c r="AP245" s="192"/>
      <c r="AQ245" s="192"/>
      <c r="AR245" s="192"/>
      <c r="AS245" s="192"/>
      <c r="AT245" s="192"/>
      <c r="AU245" s="192"/>
      <c r="AV245" s="338" t="s">
        <v>217</v>
      </c>
      <c r="AW245" s="338" t="s">
        <v>217</v>
      </c>
      <c r="AX245" s="351" t="s">
        <v>642</v>
      </c>
      <c r="AY245" s="260" t="s">
        <v>642</v>
      </c>
      <c r="AZ245" s="181" t="s">
        <v>1345</v>
      </c>
      <c r="BA245" s="351"/>
      <c r="BB245" s="351"/>
      <c r="BC245" s="156" t="s">
        <v>316</v>
      </c>
      <c r="BD245" s="156"/>
      <c r="BE245" s="156"/>
      <c r="BF245" s="156" t="s">
        <v>263</v>
      </c>
      <c r="BG245" s="156"/>
      <c r="BH245" s="351"/>
    </row>
    <row r="246" spans="1:62" ht="42" customHeight="1">
      <c r="A246" s="344">
        <f>SUBTOTAL(3,C$11:$C246)</f>
        <v>166</v>
      </c>
      <c r="B246" s="337" t="s">
        <v>643</v>
      </c>
      <c r="C246" s="338" t="s">
        <v>39</v>
      </c>
      <c r="D246" s="366">
        <v>30</v>
      </c>
      <c r="E246" s="366"/>
      <c r="F246" s="339">
        <v>30</v>
      </c>
      <c r="G246" s="414">
        <f t="shared" si="32"/>
        <v>2.98</v>
      </c>
      <c r="H246" s="413" t="s">
        <v>1138</v>
      </c>
      <c r="I246" s="413" t="s">
        <v>1346</v>
      </c>
      <c r="J246" s="413" t="s">
        <v>1139</v>
      </c>
      <c r="K246" s="413" t="str">
        <f t="shared" si="33"/>
        <v xml:space="preserve">LUK, HNK, NTS, DGT, TIN, SON, </v>
      </c>
      <c r="L246" s="413" t="str">
        <f t="shared" si="34"/>
        <v>LUK:2,471;HNK:0,357;NTS:0,01;DGT:0,031;TIN:0,013;SON:0,098;</v>
      </c>
      <c r="M246" s="339"/>
      <c r="N246" s="339">
        <f>24.71*10%</f>
        <v>2.4710000000000001</v>
      </c>
      <c r="O246" s="339">
        <f>3.57*10%</f>
        <v>0.35699999999999998</v>
      </c>
      <c r="P246" s="339"/>
      <c r="Q246" s="339">
        <f>0.1*10%</f>
        <v>1.0000000000000002E-2</v>
      </c>
      <c r="R246" s="339"/>
      <c r="S246" s="339"/>
      <c r="T246" s="339"/>
      <c r="U246" s="339"/>
      <c r="V246" s="339"/>
      <c r="W246" s="339">
        <f>0.31*10%</f>
        <v>3.1E-2</v>
      </c>
      <c r="X246" s="339"/>
      <c r="Y246" s="339"/>
      <c r="Z246" s="339"/>
      <c r="AA246" s="339"/>
      <c r="AB246" s="339"/>
      <c r="AC246" s="339"/>
      <c r="AD246" s="339"/>
      <c r="AE246" s="339"/>
      <c r="AF246" s="339"/>
      <c r="AG246" s="339"/>
      <c r="AH246" s="339"/>
      <c r="AI246" s="339"/>
      <c r="AJ246" s="339"/>
      <c r="AK246" s="339"/>
      <c r="AL246" s="339"/>
      <c r="AM246" s="339"/>
      <c r="AN246" s="339"/>
      <c r="AO246" s="339"/>
      <c r="AP246" s="339">
        <f>0.13*10%</f>
        <v>1.3000000000000001E-2</v>
      </c>
      <c r="AQ246" s="339">
        <f>0.98*10%</f>
        <v>9.8000000000000004E-2</v>
      </c>
      <c r="AR246" s="339"/>
      <c r="AS246" s="339"/>
      <c r="AT246" s="339"/>
      <c r="AU246" s="339"/>
      <c r="AV246" s="338" t="s">
        <v>266</v>
      </c>
      <c r="AW246" s="338" t="s">
        <v>266</v>
      </c>
      <c r="AX246" s="432" t="s">
        <v>644</v>
      </c>
      <c r="AY246" s="433" t="s">
        <v>644</v>
      </c>
      <c r="AZ246" s="434" t="s">
        <v>1347</v>
      </c>
      <c r="BA246" s="432" t="s">
        <v>645</v>
      </c>
      <c r="BB246" s="432"/>
      <c r="BC246" s="156" t="s">
        <v>316</v>
      </c>
      <c r="BD246" s="156"/>
      <c r="BE246" s="156"/>
      <c r="BF246" s="156"/>
      <c r="BG246" s="156" t="s">
        <v>263</v>
      </c>
      <c r="BH246" s="432"/>
    </row>
    <row r="247" spans="1:62" ht="42" customHeight="1">
      <c r="A247" s="344">
        <f>SUBTOTAL(3,C$11:$C247)</f>
        <v>167</v>
      </c>
      <c r="B247" s="166" t="s">
        <v>646</v>
      </c>
      <c r="C247" s="338" t="s">
        <v>39</v>
      </c>
      <c r="D247" s="361">
        <v>15</v>
      </c>
      <c r="E247" s="366"/>
      <c r="F247" s="361">
        <v>15</v>
      </c>
      <c r="G247" s="414">
        <f>SUM(M247:AR247)</f>
        <v>15</v>
      </c>
      <c r="H247" s="413" t="s">
        <v>1348</v>
      </c>
      <c r="I247" s="413" t="s">
        <v>1349</v>
      </c>
      <c r="J247" s="413"/>
      <c r="K247" s="413" t="str">
        <f>IF(M247&lt;&gt;0,$M$5&amp;", ","")&amp;IF(N247&lt;&gt;0,$N$5&amp;", ","")&amp;IF(O247&lt;&gt;0,O$5&amp;", ","")&amp;IF(P247&lt;&gt;0,P$5&amp;", ","")&amp;IF(Q247&lt;&gt;0,Q$5&amp;", ","")&amp;IF(R247&lt;&gt;0,R$5&amp;", ","")&amp;IF(S247&lt;&gt;0,S$5&amp;", ","")&amp;IF(T247&lt;&gt;0,T$5&amp;", ","")&amp;IF(U247&lt;&gt;0,U$5&amp;", ","")&amp;IF(V247&lt;&gt;0,V$5&amp;", ","")&amp;IF(W247&lt;&gt;0,W$5&amp;", ","")&amp;IF(X247&lt;&gt;0,X$5&amp;", ","")&amp;IF(Y247&lt;&gt;0,Y$5&amp;", ","")&amp;IF(Z247&lt;&gt;0,Z$5&amp;", ","")&amp;IF(AA247&lt;&gt;0,AA$5&amp;", ","")&amp;IF(AB247&lt;&gt;0,AB$5&amp;", ","")&amp;IF(AC247&lt;&gt;0,AC$5&amp;", ","")&amp;IF(AD247&lt;&gt;0,AD$5&amp;", ","")&amp;IF(AE247&lt;&gt;0,AE$5&amp;", ","")&amp;IF(AF247&lt;&gt;0,AF$5&amp;", ","")&amp;IF(AG247&lt;&gt;0,AG$5&amp;", ","")&amp;IF(AH247&lt;&gt;0,AH$5&amp;", ","")&amp;IF(AI247&lt;&gt;0,AI$5&amp;", ","")&amp;IF(AJ247&lt;&gt;0,AJ$5&amp;", ","")&amp;IF(AK247&lt;&gt;0,AK$5&amp;", ","")&amp;IF(AL247&lt;&gt;0,AL$5&amp;", ","")&amp;IF(AM247&lt;&gt;0,AM$5&amp;", ","")&amp;IF(AN247&lt;&gt;0,AN$5&amp;", ","")&amp;IF(AO247&lt;&gt;0,AO$5&amp;", ","")&amp;IF(AP247&lt;&gt;0,AP$5&amp;", ","")&amp;IF(AQ247&lt;&gt;0,AQ$5&amp;", ","")&amp;IF(AR247&lt;&gt;0,AR$5,"")&amp;IF(AS247&lt;&gt;0,AS$5,"")&amp;IF(AT247&lt;&gt;0,AT$5,"")&amp;IF(AU247&lt;&gt;0,AU$5,"")</f>
        <v xml:space="preserve">LUC, HNK, NTD, ONT, </v>
      </c>
      <c r="L247" s="413" t="str">
        <f>IF(M247="","",$M$5&amp;":"&amp;M247&amp;";")&amp;IF(N247="","",$N$5&amp;":"&amp;N247&amp;";")&amp;IF(O247="","",$O$5&amp;":"&amp;O247&amp;";")&amp;IF(P247="","",$P$5&amp;":"&amp;P247&amp;";")&amp;IF(Q247="","",$Q$5&amp;":"&amp;Q247&amp;";")&amp;IF(R247="","",$R$5&amp;":"&amp;R247&amp;";")&amp;IF(S247="","",$S$5&amp;":"&amp;S247&amp;";")&amp;IF(T247="","",$T$5&amp;":"&amp;T247&amp;";")&amp;IF(U247="","",$U$5&amp;":"&amp;U247&amp;";")&amp;IF(V247="","",$V$5&amp;":"&amp;V247&amp;";")&amp;IF(W247="","",$W$5&amp;":"&amp;W247&amp;";")&amp;IF(X247="","",$X$5&amp;":"&amp;X247&amp;";")&amp;IF(Y247="","",$Y$5&amp;":"&amp;Y247&amp;";")&amp;IF(Z247="","",$Z$5&amp;":"&amp;Z247&amp;";")&amp;IF(AA247="","",$AA$5&amp;":"&amp;AA247&amp;";")&amp;IF(AB247="","",$AB$5&amp;":"&amp;AB247&amp;";")&amp;IF(AC247="","",$AC$5&amp;":"&amp;AC247&amp;";")&amp;IF(AD247="","",$AD$5&amp;":"&amp;AD247&amp;";")&amp;IF(AE247="","",$AE$5&amp;":"&amp;AE247&amp;";")&amp;IF(AF247="","",$AF$5&amp;":"&amp;AF247&amp;";")&amp;IF(AG247="","",$AG$5&amp;":"&amp;AG247&amp;";")&amp;IF(AH247="","",$AH$5&amp;":"&amp;AH247&amp;";")&amp;IF(AI247="","",$AI$5&amp;":"&amp;AI247&amp;";")&amp;IF(AJ247="","",$AJ$5&amp;":"&amp;AJ247&amp;";")&amp;IF(AK247="","",$AK$5&amp;":"&amp;AK247&amp;";")&amp;IF(AL247="","",$AL$5&amp;":"&amp;AL247&amp;";")&amp;IF(AM247="","",$AM$5&amp;":"&amp;AM247&amp;";")&amp;IF(AN247="","",$AN$5&amp;":"&amp;AN247&amp;";")&amp;IF(AO247="","",$AO$5&amp;":"&amp;AO247&amp;";")&amp;IF(AP247="","",$AP$5&amp;":"&amp;AP247&amp;";")&amp;IF(AQ247="","",$AQ$5&amp;":"&amp;AQ247&amp;";")&amp;IF(AR247="","",$AR$5&amp;":"&amp;AR247&amp;";")&amp;IF(AS247="","",$AS$5&amp;":"&amp;AS247&amp;";")&amp;IF(AT247="","",$AT$5&amp;":"&amp;AT247&amp;";")&amp;IF(AU247="","",$AU$5&amp;":"&amp;AU247&amp;";")</f>
        <v>LUC:10,8;HNK:2,93;NTD:0,48;ONT:0,79;</v>
      </c>
      <c r="M247" s="361">
        <v>10.8</v>
      </c>
      <c r="N247" s="361"/>
      <c r="O247" s="361">
        <v>2.93</v>
      </c>
      <c r="P247" s="361"/>
      <c r="Q247" s="361"/>
      <c r="R247" s="361"/>
      <c r="S247" s="361"/>
      <c r="T247" s="361"/>
      <c r="U247" s="361"/>
      <c r="V247" s="361"/>
      <c r="W247" s="361"/>
      <c r="X247" s="361"/>
      <c r="Y247" s="361"/>
      <c r="Z247" s="361"/>
      <c r="AA247" s="361"/>
      <c r="AB247" s="361"/>
      <c r="AC247" s="361"/>
      <c r="AD247" s="361"/>
      <c r="AE247" s="361"/>
      <c r="AF247" s="361"/>
      <c r="AG247" s="361"/>
      <c r="AH247" s="361">
        <v>0.48</v>
      </c>
      <c r="AI247" s="361"/>
      <c r="AJ247" s="361"/>
      <c r="AK247" s="361"/>
      <c r="AL247" s="361">
        <v>0.79</v>
      </c>
      <c r="AM247" s="361"/>
      <c r="AN247" s="361"/>
      <c r="AO247" s="361"/>
      <c r="AP247" s="361"/>
      <c r="AQ247" s="361"/>
      <c r="AR247" s="361"/>
      <c r="AS247" s="361"/>
      <c r="AT247" s="361"/>
      <c r="AU247" s="361"/>
      <c r="AV247" s="338" t="s">
        <v>289</v>
      </c>
      <c r="AW247" s="338" t="s">
        <v>289</v>
      </c>
      <c r="AX247" s="350" t="s">
        <v>995</v>
      </c>
      <c r="AY247" s="356" t="s">
        <v>995</v>
      </c>
      <c r="AZ247" s="352" t="s">
        <v>1350</v>
      </c>
      <c r="BA247" s="350" t="s">
        <v>357</v>
      </c>
      <c r="BB247" s="350"/>
      <c r="BC247" s="195" t="s">
        <v>358</v>
      </c>
      <c r="BD247" s="195"/>
      <c r="BE247" s="195"/>
      <c r="BF247" s="195"/>
      <c r="BG247" s="195"/>
      <c r="BH247" s="350"/>
    </row>
    <row r="248" spans="1:62" ht="42" customHeight="1">
      <c r="A248" s="344">
        <f>SUBTOTAL(3,C$11:$C248)</f>
        <v>168</v>
      </c>
      <c r="B248" s="166" t="s">
        <v>1749</v>
      </c>
      <c r="C248" s="338" t="s">
        <v>39</v>
      </c>
      <c r="D248" s="361">
        <v>10</v>
      </c>
      <c r="E248" s="366"/>
      <c r="F248" s="361">
        <v>10</v>
      </c>
      <c r="G248" s="414">
        <f>SUM(M248:AR248)</f>
        <v>15</v>
      </c>
      <c r="H248" s="413" t="s">
        <v>1142</v>
      </c>
      <c r="I248" s="413" t="s">
        <v>1349</v>
      </c>
      <c r="J248" s="413"/>
      <c r="K248" s="413" t="str">
        <f>IF(M248&lt;&gt;0,$M$5&amp;", ","")&amp;IF(N248&lt;&gt;0,$N$5&amp;", ","")&amp;IF(O248&lt;&gt;0,O$5&amp;", ","")&amp;IF(P248&lt;&gt;0,P$5&amp;", ","")&amp;IF(Q248&lt;&gt;0,Q$5&amp;", ","")&amp;IF(R248&lt;&gt;0,R$5&amp;", ","")&amp;IF(S248&lt;&gt;0,S$5&amp;", ","")&amp;IF(T248&lt;&gt;0,T$5&amp;", ","")&amp;IF(U248&lt;&gt;0,U$5&amp;", ","")&amp;IF(V248&lt;&gt;0,V$5&amp;", ","")&amp;IF(W248&lt;&gt;0,W$5&amp;", ","")&amp;IF(X248&lt;&gt;0,X$5&amp;", ","")&amp;IF(Y248&lt;&gt;0,Y$5&amp;", ","")&amp;IF(Z248&lt;&gt;0,Z$5&amp;", ","")&amp;IF(AA248&lt;&gt;0,AA$5&amp;", ","")&amp;IF(AB248&lt;&gt;0,AB$5&amp;", ","")&amp;IF(AC248&lt;&gt;0,AC$5&amp;", ","")&amp;IF(AD248&lt;&gt;0,AD$5&amp;", ","")&amp;IF(AE248&lt;&gt;0,AE$5&amp;", ","")&amp;IF(AF248&lt;&gt;0,AF$5&amp;", ","")&amp;IF(AG248&lt;&gt;0,AG$5&amp;", ","")&amp;IF(AH248&lt;&gt;0,AH$5&amp;", ","")&amp;IF(AI248&lt;&gt;0,AI$5&amp;", ","")&amp;IF(AJ248&lt;&gt;0,AJ$5&amp;", ","")&amp;IF(AK248&lt;&gt;0,AK$5&amp;", ","")&amp;IF(AL248&lt;&gt;0,AL$5&amp;", ","")&amp;IF(AM248&lt;&gt;0,AM$5&amp;", ","")&amp;IF(AN248&lt;&gt;0,AN$5&amp;", ","")&amp;IF(AO248&lt;&gt;0,AO$5&amp;", ","")&amp;IF(AP248&lt;&gt;0,AP$5&amp;", ","")&amp;IF(AQ248&lt;&gt;0,AQ$5&amp;", ","")&amp;IF(AR248&lt;&gt;0,AR$5,"")&amp;IF(AS248&lt;&gt;0,AS$5,"")&amp;IF(AT248&lt;&gt;0,AT$5,"")&amp;IF(AU248&lt;&gt;0,AU$5,"")</f>
        <v xml:space="preserve">LUC, HNK, NTD, ONT, </v>
      </c>
      <c r="L248" s="413" t="str">
        <f>IF(M248="","",$M$5&amp;":"&amp;M248&amp;";")&amp;IF(N248="","",$N$5&amp;":"&amp;N248&amp;";")&amp;IF(O248="","",$O$5&amp;":"&amp;O248&amp;";")&amp;IF(P248="","",$P$5&amp;":"&amp;P248&amp;";")&amp;IF(Q248="","",$Q$5&amp;":"&amp;Q248&amp;";")&amp;IF(R248="","",$R$5&amp;":"&amp;R248&amp;";")&amp;IF(S248="","",$S$5&amp;":"&amp;S248&amp;";")&amp;IF(T248="","",$T$5&amp;":"&amp;T248&amp;";")&amp;IF(U248="","",$U$5&amp;":"&amp;U248&amp;";")&amp;IF(V248="","",$V$5&amp;":"&amp;V248&amp;";")&amp;IF(W248="","",$W$5&amp;":"&amp;W248&amp;";")&amp;IF(X248="","",$X$5&amp;":"&amp;X248&amp;";")&amp;IF(Y248="","",$Y$5&amp;":"&amp;Y248&amp;";")&amp;IF(Z248="","",$Z$5&amp;":"&amp;Z248&amp;";")&amp;IF(AA248="","",$AA$5&amp;":"&amp;AA248&amp;";")&amp;IF(AB248="","",$AB$5&amp;":"&amp;AB248&amp;";")&amp;IF(AC248="","",$AC$5&amp;":"&amp;AC248&amp;";")&amp;IF(AD248="","",$AD$5&amp;":"&amp;AD248&amp;";")&amp;IF(AE248="","",$AE$5&amp;":"&amp;AE248&amp;";")&amp;IF(AF248="","",$AF$5&amp;":"&amp;AF248&amp;";")&amp;IF(AG248="","",$AG$5&amp;":"&amp;AG248&amp;";")&amp;IF(AH248="","",$AH$5&amp;":"&amp;AH248&amp;";")&amp;IF(AI248="","",$AI$5&amp;":"&amp;AI248&amp;";")&amp;IF(AJ248="","",$AJ$5&amp;":"&amp;AJ248&amp;";")&amp;IF(AK248="","",$AK$5&amp;":"&amp;AK248&amp;";")&amp;IF(AL248="","",$AL$5&amp;":"&amp;AL248&amp;";")&amp;IF(AM248="","",$AM$5&amp;":"&amp;AM248&amp;";")&amp;IF(AN248="","",$AN$5&amp;":"&amp;AN248&amp;";")&amp;IF(AO248="","",$AO$5&amp;":"&amp;AO248&amp;";")&amp;IF(AP248="","",$AP$5&amp;":"&amp;AP248&amp;";")&amp;IF(AQ248="","",$AQ$5&amp;":"&amp;AQ248&amp;";")&amp;IF(AR248="","",$AR$5&amp;":"&amp;AR248&amp;";")&amp;IF(AS248="","",$AS$5&amp;":"&amp;AS248&amp;";")&amp;IF(AT248="","",$AT$5&amp;":"&amp;AT248&amp;";")&amp;IF(AU248="","",$AU$5&amp;":"&amp;AU248&amp;";")</f>
        <v>LUC:10,8;HNK:2,93;NTD:0,48;ONT:0,79;</v>
      </c>
      <c r="M248" s="361">
        <v>10.8</v>
      </c>
      <c r="N248" s="361"/>
      <c r="O248" s="361">
        <v>2.93</v>
      </c>
      <c r="P248" s="361"/>
      <c r="Q248" s="361"/>
      <c r="R248" s="361"/>
      <c r="S248" s="361"/>
      <c r="T248" s="361"/>
      <c r="U248" s="361"/>
      <c r="V248" s="361"/>
      <c r="W248" s="361"/>
      <c r="X248" s="361"/>
      <c r="Y248" s="361"/>
      <c r="Z248" s="361"/>
      <c r="AA248" s="361"/>
      <c r="AB248" s="361"/>
      <c r="AC248" s="361"/>
      <c r="AD248" s="361"/>
      <c r="AE248" s="361"/>
      <c r="AF248" s="361"/>
      <c r="AG248" s="361"/>
      <c r="AH248" s="361">
        <v>0.48</v>
      </c>
      <c r="AI248" s="361"/>
      <c r="AJ248" s="361"/>
      <c r="AK248" s="361"/>
      <c r="AL248" s="361">
        <v>0.79</v>
      </c>
      <c r="AM248" s="361"/>
      <c r="AN248" s="361"/>
      <c r="AO248" s="361"/>
      <c r="AP248" s="361"/>
      <c r="AQ248" s="361"/>
      <c r="AR248" s="361"/>
      <c r="AS248" s="361"/>
      <c r="AT248" s="361"/>
      <c r="AU248" s="361"/>
      <c r="AV248" s="338" t="s">
        <v>277</v>
      </c>
      <c r="AW248" s="338" t="s">
        <v>289</v>
      </c>
      <c r="AX248" s="350" t="s">
        <v>1750</v>
      </c>
      <c r="AY248" s="356" t="s">
        <v>995</v>
      </c>
      <c r="AZ248" s="352" t="s">
        <v>1350</v>
      </c>
      <c r="BA248" s="350" t="s">
        <v>357</v>
      </c>
      <c r="BB248" s="350"/>
      <c r="BC248" s="195" t="s">
        <v>358</v>
      </c>
      <c r="BD248" s="195"/>
      <c r="BE248" s="195"/>
      <c r="BF248" s="195"/>
      <c r="BG248" s="195"/>
      <c r="BH248" s="350"/>
    </row>
    <row r="249" spans="1:62" s="179" customFormat="1" ht="24.65" customHeight="1">
      <c r="A249" s="145"/>
      <c r="B249" s="163" t="s">
        <v>1758</v>
      </c>
      <c r="C249" s="164"/>
      <c r="D249" s="368"/>
      <c r="E249" s="368"/>
      <c r="F249" s="368"/>
      <c r="G249" s="410"/>
      <c r="H249" s="411"/>
      <c r="I249" s="411"/>
      <c r="J249" s="411"/>
      <c r="K249" s="411"/>
      <c r="L249" s="411"/>
      <c r="M249" s="368"/>
      <c r="N249" s="368"/>
      <c r="O249" s="368"/>
      <c r="P249" s="368"/>
      <c r="Q249" s="368"/>
      <c r="R249" s="368"/>
      <c r="S249" s="368"/>
      <c r="T249" s="368"/>
      <c r="U249" s="368"/>
      <c r="V249" s="368"/>
      <c r="W249" s="368"/>
      <c r="X249" s="368"/>
      <c r="Y249" s="368"/>
      <c r="Z249" s="368"/>
      <c r="AA249" s="368"/>
      <c r="AB249" s="368"/>
      <c r="AC249" s="368"/>
      <c r="AD249" s="368"/>
      <c r="AE249" s="368"/>
      <c r="AF249" s="368"/>
      <c r="AG249" s="368"/>
      <c r="AH249" s="368"/>
      <c r="AI249" s="368"/>
      <c r="AJ249" s="368"/>
      <c r="AK249" s="368"/>
      <c r="AL249" s="368"/>
      <c r="AM249" s="368"/>
      <c r="AN249" s="368"/>
      <c r="AO249" s="368"/>
      <c r="AP249" s="368"/>
      <c r="AQ249" s="368"/>
      <c r="AR249" s="368"/>
      <c r="AS249" s="368"/>
      <c r="AT249" s="368"/>
      <c r="AU249" s="368"/>
      <c r="AV249" s="368"/>
      <c r="AW249" s="368"/>
      <c r="AX249" s="368"/>
      <c r="AY249" s="257"/>
      <c r="AZ249" s="178"/>
      <c r="BA249" s="368"/>
      <c r="BB249" s="368"/>
      <c r="BC249" s="165"/>
      <c r="BD249" s="165"/>
      <c r="BE249" s="165"/>
      <c r="BF249" s="165"/>
      <c r="BG249" s="165"/>
      <c r="BH249" s="368"/>
      <c r="BI249" s="412"/>
      <c r="BJ249" s="412"/>
    </row>
    <row r="250" spans="1:62" s="485" customFormat="1" ht="42" customHeight="1">
      <c r="A250" s="444"/>
      <c r="B250" s="496" t="s">
        <v>1907</v>
      </c>
      <c r="C250" s="422" t="s">
        <v>39</v>
      </c>
      <c r="D250" s="480">
        <v>39.5</v>
      </c>
      <c r="E250" s="480"/>
      <c r="F250" s="480">
        <v>39.5</v>
      </c>
      <c r="G250" s="421"/>
      <c r="H250" s="420"/>
      <c r="I250" s="420"/>
      <c r="J250" s="420"/>
      <c r="K250" s="420"/>
      <c r="L250" s="420"/>
      <c r="M250" s="419"/>
      <c r="N250" s="419"/>
      <c r="O250" s="419"/>
      <c r="P250" s="419"/>
      <c r="Q250" s="419"/>
      <c r="R250" s="419"/>
      <c r="S250" s="419"/>
      <c r="T250" s="419"/>
      <c r="U250" s="419"/>
      <c r="V250" s="419"/>
      <c r="W250" s="419"/>
      <c r="X250" s="419"/>
      <c r="Y250" s="419"/>
      <c r="Z250" s="419"/>
      <c r="AA250" s="419"/>
      <c r="AB250" s="419"/>
      <c r="AC250" s="419"/>
      <c r="AD250" s="419"/>
      <c r="AE250" s="419"/>
      <c r="AF250" s="419"/>
      <c r="AG250" s="419"/>
      <c r="AH250" s="419"/>
      <c r="AI250" s="419"/>
      <c r="AJ250" s="419"/>
      <c r="AK250" s="419"/>
      <c r="AL250" s="419"/>
      <c r="AM250" s="419"/>
      <c r="AN250" s="419"/>
      <c r="AO250" s="419"/>
      <c r="AP250" s="419"/>
      <c r="AQ250" s="419"/>
      <c r="AR250" s="419"/>
      <c r="AS250" s="419"/>
      <c r="AT250" s="419"/>
      <c r="AU250" s="419"/>
      <c r="AV250" s="422" t="s">
        <v>309</v>
      </c>
      <c r="AW250" s="422" t="s">
        <v>309</v>
      </c>
      <c r="AX250" s="449"/>
      <c r="AY250" s="482"/>
      <c r="AZ250" s="449"/>
      <c r="BA250" s="449"/>
      <c r="BB250" s="449"/>
      <c r="BC250" s="483"/>
      <c r="BD250" s="483"/>
      <c r="BE250" s="483"/>
      <c r="BF250" s="483"/>
      <c r="BG250" s="483"/>
      <c r="BH250" s="449"/>
      <c r="BI250" s="429" t="s">
        <v>1859</v>
      </c>
      <c r="BJ250" s="429"/>
    </row>
    <row r="251" spans="1:62" ht="25" customHeight="1">
      <c r="A251" s="172" t="s">
        <v>1728</v>
      </c>
      <c r="B251" s="489" t="s">
        <v>110</v>
      </c>
      <c r="C251" s="490"/>
      <c r="D251" s="359"/>
      <c r="E251" s="359"/>
      <c r="F251" s="491"/>
      <c r="G251" s="414"/>
      <c r="H251" s="413"/>
      <c r="I251" s="413"/>
      <c r="J251" s="413"/>
      <c r="K251" s="413" t="str">
        <f>IF(M251&lt;&gt;0,$M$5&amp;", ","")&amp;IF(N251&lt;&gt;0,$N$5&amp;", ","")&amp;IF(O251&lt;&gt;0,O$5&amp;", ","")&amp;IF(P251&lt;&gt;0,P$5&amp;", ","")&amp;IF(Q251&lt;&gt;0,Q$5&amp;", ","")&amp;IF(R251&lt;&gt;0,R$5&amp;", ","")&amp;IF(S251&lt;&gt;0,S$5&amp;", ","")&amp;IF(T251&lt;&gt;0,T$5&amp;", ","")&amp;IF(U251&lt;&gt;0,U$5&amp;", ","")&amp;IF(V251&lt;&gt;0,V$5&amp;", ","")&amp;IF(W251&lt;&gt;0,W$5&amp;", ","")&amp;IF(X251&lt;&gt;0,X$5&amp;", ","")&amp;IF(Y251&lt;&gt;0,Y$5&amp;", ","")&amp;IF(Z251&lt;&gt;0,Z$5&amp;", ","")&amp;IF(AA251&lt;&gt;0,AA$5&amp;", ","")&amp;IF(AB251&lt;&gt;0,AB$5&amp;", ","")&amp;IF(AC251&lt;&gt;0,AC$5&amp;", ","")&amp;IF(AD251&lt;&gt;0,AD$5&amp;", ","")&amp;IF(AE251&lt;&gt;0,AE$5&amp;", ","")&amp;IF(AF251&lt;&gt;0,AF$5&amp;", ","")&amp;IF(AG251&lt;&gt;0,AG$5&amp;", ","")&amp;IF(AH251&lt;&gt;0,AH$5&amp;", ","")&amp;IF(AI251&lt;&gt;0,AI$5&amp;", ","")&amp;IF(AJ251&lt;&gt;0,AJ$5&amp;", ","")&amp;IF(AK251&lt;&gt;0,AK$5&amp;", ","")&amp;IF(AL251&lt;&gt;0,AL$5&amp;", ","")&amp;IF(AM251&lt;&gt;0,AM$5&amp;", ","")&amp;IF(AN251&lt;&gt;0,AN$5&amp;", ","")&amp;IF(AO251&lt;&gt;0,AO$5&amp;", ","")&amp;IF(AP251&lt;&gt;0,AP$5&amp;", ","")&amp;IF(AQ251&lt;&gt;0,AQ$5&amp;", ","")&amp;IF(AR251&lt;&gt;0,AR$5,"")&amp;IF(AS251&lt;&gt;0,AS$5,"")&amp;IF(AT251&lt;&gt;0,AT$5,"")&amp;IF(AU251&lt;&gt;0,AU$5,"")</f>
        <v/>
      </c>
      <c r="L251" s="413" t="str">
        <f>IF(M251="","",$M$5&amp;":"&amp;M251&amp;";")&amp;IF(N251="","",$N$5&amp;":"&amp;N251&amp;";")&amp;IF(O251="","",$O$5&amp;":"&amp;O251&amp;";")&amp;IF(P251="","",$P$5&amp;":"&amp;P251&amp;";")&amp;IF(Q251="","",$Q$5&amp;":"&amp;Q251&amp;";")&amp;IF(R251="","",$R$5&amp;":"&amp;R251&amp;";")&amp;IF(S251="","",$S$5&amp;":"&amp;S251&amp;";")&amp;IF(T251="","",$T$5&amp;":"&amp;T251&amp;";")&amp;IF(U251="","",$U$5&amp;":"&amp;U251&amp;";")&amp;IF(V251="","",$V$5&amp;":"&amp;V251&amp;";")&amp;IF(W251="","",$W$5&amp;":"&amp;W251&amp;";")&amp;IF(X251="","",$X$5&amp;":"&amp;X251&amp;";")&amp;IF(Y251="","",$Y$5&amp;":"&amp;Y251&amp;";")&amp;IF(Z251="","",$Z$5&amp;":"&amp;Z251&amp;";")&amp;IF(AA251="","",$AA$5&amp;":"&amp;AA251&amp;";")&amp;IF(AB251="","",$AB$5&amp;":"&amp;AB251&amp;";")&amp;IF(AC251="","",$AC$5&amp;":"&amp;AC251&amp;";")&amp;IF(AD251="","",$AD$5&amp;":"&amp;AD251&amp;";")&amp;IF(AE251="","",$AE$5&amp;":"&amp;AE251&amp;";")&amp;IF(AF251="","",$AF$5&amp;":"&amp;AF251&amp;";")&amp;IF(AG251="","",$AG$5&amp;":"&amp;AG251&amp;";")&amp;IF(AH251="","",$AH$5&amp;":"&amp;AH251&amp;";")&amp;IF(AI251="","",$AI$5&amp;":"&amp;AI251&amp;";")&amp;IF(AJ251="","",$AJ$5&amp;":"&amp;AJ251&amp;";")&amp;IF(AK251="","",$AK$5&amp;":"&amp;AK251&amp;";")&amp;IF(AL251="","",$AL$5&amp;":"&amp;AL251&amp;";")&amp;IF(AM251="","",$AM$5&amp;":"&amp;AM251&amp;";")&amp;IF(AN251="","",$AN$5&amp;":"&amp;AN251&amp;";")&amp;IF(AO251="","",$AO$5&amp;":"&amp;AO251&amp;";")&amp;IF(AP251="","",$AP$5&amp;":"&amp;AP251&amp;";")&amp;IF(AQ251="","",$AQ$5&amp;":"&amp;AQ251&amp;";")&amp;IF(AR251="","",$AR$5&amp;":"&amp;AR251&amp;";")&amp;IF(AS251="","",$AS$5&amp;":"&amp;AS251&amp;";")&amp;IF(AT251="","",$AT$5&amp;":"&amp;AT251&amp;";")&amp;IF(AU251="","",$AU$5&amp;":"&amp;AU251&amp;";")</f>
        <v/>
      </c>
      <c r="M251" s="361"/>
      <c r="N251" s="361"/>
      <c r="O251" s="361"/>
      <c r="P251" s="361"/>
      <c r="Q251" s="361"/>
      <c r="R251" s="361"/>
      <c r="S251" s="361"/>
      <c r="T251" s="361"/>
      <c r="U251" s="361"/>
      <c r="V251" s="361"/>
      <c r="W251" s="361"/>
      <c r="X251" s="361"/>
      <c r="Y251" s="361"/>
      <c r="Z251" s="361"/>
      <c r="AA251" s="361"/>
      <c r="AB251" s="361"/>
      <c r="AC251" s="361"/>
      <c r="AD251" s="361"/>
      <c r="AE251" s="361"/>
      <c r="AF251" s="361"/>
      <c r="AG251" s="361"/>
      <c r="AH251" s="361"/>
      <c r="AI251" s="361"/>
      <c r="AJ251" s="361"/>
      <c r="AK251" s="361"/>
      <c r="AL251" s="361"/>
      <c r="AM251" s="361"/>
      <c r="AN251" s="361"/>
      <c r="AO251" s="361"/>
      <c r="AP251" s="361"/>
      <c r="AQ251" s="361"/>
      <c r="AR251" s="361"/>
      <c r="AS251" s="361"/>
      <c r="AT251" s="361"/>
      <c r="AU251" s="361"/>
      <c r="AV251" s="351"/>
      <c r="AW251" s="351"/>
      <c r="AX251" s="351"/>
      <c r="AY251" s="260"/>
      <c r="AZ251" s="181"/>
      <c r="BA251" s="351"/>
      <c r="BB251" s="351"/>
      <c r="BC251" s="156"/>
      <c r="BD251" s="156"/>
      <c r="BE251" s="156"/>
      <c r="BF251" s="156"/>
      <c r="BG251" s="156"/>
      <c r="BH251" s="351"/>
    </row>
    <row r="252" spans="1:62" s="179" customFormat="1" ht="24.65" customHeight="1">
      <c r="A252" s="145"/>
      <c r="B252" s="163" t="s">
        <v>1757</v>
      </c>
      <c r="C252" s="164"/>
      <c r="D252" s="368"/>
      <c r="E252" s="368"/>
      <c r="F252" s="368"/>
      <c r="G252" s="410"/>
      <c r="H252" s="411"/>
      <c r="I252" s="411"/>
      <c r="J252" s="411"/>
      <c r="K252" s="411"/>
      <c r="L252" s="411"/>
      <c r="M252" s="368"/>
      <c r="N252" s="368"/>
      <c r="O252" s="368"/>
      <c r="P252" s="368"/>
      <c r="Q252" s="368"/>
      <c r="R252" s="368"/>
      <c r="S252" s="368"/>
      <c r="T252" s="368"/>
      <c r="U252" s="368"/>
      <c r="V252" s="368"/>
      <c r="W252" s="368"/>
      <c r="X252" s="368"/>
      <c r="Y252" s="368"/>
      <c r="Z252" s="368"/>
      <c r="AA252" s="368"/>
      <c r="AB252" s="368"/>
      <c r="AC252" s="368"/>
      <c r="AD252" s="368"/>
      <c r="AE252" s="368"/>
      <c r="AF252" s="368"/>
      <c r="AG252" s="368"/>
      <c r="AH252" s="368"/>
      <c r="AI252" s="368"/>
      <c r="AJ252" s="368"/>
      <c r="AK252" s="368"/>
      <c r="AL252" s="368"/>
      <c r="AM252" s="368"/>
      <c r="AN252" s="368"/>
      <c r="AO252" s="368"/>
      <c r="AP252" s="368"/>
      <c r="AQ252" s="368"/>
      <c r="AR252" s="368"/>
      <c r="AS252" s="368"/>
      <c r="AT252" s="368"/>
      <c r="AU252" s="368"/>
      <c r="AV252" s="368"/>
      <c r="AW252" s="368"/>
      <c r="AX252" s="368"/>
      <c r="AY252" s="257"/>
      <c r="AZ252" s="178"/>
      <c r="BA252" s="368"/>
      <c r="BB252" s="368"/>
      <c r="BC252" s="165"/>
      <c r="BD252" s="165"/>
      <c r="BE252" s="165"/>
      <c r="BF252" s="165"/>
      <c r="BG252" s="165"/>
      <c r="BH252" s="368"/>
      <c r="BI252" s="412"/>
      <c r="BJ252" s="412"/>
    </row>
    <row r="253" spans="1:62" ht="54" customHeight="1">
      <c r="A253" s="344">
        <f>SUBTOTAL(3,C$11:$C253)</f>
        <v>170</v>
      </c>
      <c r="B253" s="362" t="s">
        <v>647</v>
      </c>
      <c r="C253" s="351" t="s">
        <v>51</v>
      </c>
      <c r="D253" s="351">
        <v>0.3</v>
      </c>
      <c r="E253" s="351"/>
      <c r="F253" s="351">
        <v>0.3</v>
      </c>
      <c r="G253" s="414">
        <f>SUM(M253:AR253)</f>
        <v>0.2979</v>
      </c>
      <c r="H253" s="413" t="s">
        <v>24</v>
      </c>
      <c r="I253" s="413" t="s">
        <v>24</v>
      </c>
      <c r="J253" s="413"/>
      <c r="K253" s="413" t="str">
        <f>IF(M253&lt;&gt;0,$M$5&amp;", ","")&amp;IF(N253&lt;&gt;0,$N$5&amp;", ","")&amp;IF(O253&lt;&gt;0,O$5&amp;", ","")&amp;IF(P253&lt;&gt;0,P$5&amp;", ","")&amp;IF(Q253&lt;&gt;0,Q$5&amp;", ","")&amp;IF(R253&lt;&gt;0,R$5&amp;", ","")&amp;IF(S253&lt;&gt;0,S$5&amp;", ","")&amp;IF(T253&lt;&gt;0,T$5&amp;", ","")&amp;IF(U253&lt;&gt;0,U$5&amp;", ","")&amp;IF(V253&lt;&gt;0,V$5&amp;", ","")&amp;IF(W253&lt;&gt;0,W$5&amp;", ","")&amp;IF(X253&lt;&gt;0,X$5&amp;", ","")&amp;IF(Y253&lt;&gt;0,Y$5&amp;", ","")&amp;IF(Z253&lt;&gt;0,Z$5&amp;", ","")&amp;IF(AA253&lt;&gt;0,AA$5&amp;", ","")&amp;IF(AB253&lt;&gt;0,AB$5&amp;", ","")&amp;IF(AC253&lt;&gt;0,AC$5&amp;", ","")&amp;IF(AD253&lt;&gt;0,AD$5&amp;", ","")&amp;IF(AE253&lt;&gt;0,AE$5&amp;", ","")&amp;IF(AF253&lt;&gt;0,AF$5&amp;", ","")&amp;IF(AG253&lt;&gt;0,AG$5&amp;", ","")&amp;IF(AH253&lt;&gt;0,AH$5&amp;", ","")&amp;IF(AI253&lt;&gt;0,AI$5&amp;", ","")&amp;IF(AJ253&lt;&gt;0,AJ$5&amp;", ","")&amp;IF(AK253&lt;&gt;0,AK$5&amp;", ","")&amp;IF(AL253&lt;&gt;0,AL$5&amp;", ","")&amp;IF(AM253&lt;&gt;0,AM$5&amp;", ","")&amp;IF(AN253&lt;&gt;0,AN$5&amp;", ","")&amp;IF(AO253&lt;&gt;0,AO$5&amp;", ","")&amp;IF(AP253&lt;&gt;0,AP$5&amp;", ","")&amp;IF(AQ253&lt;&gt;0,AQ$5&amp;", ","")&amp;IF(AR253&lt;&gt;0,AR$5,"")&amp;IF(AS253&lt;&gt;0,AS$5,"")&amp;IF(AT253&lt;&gt;0,AT$5,"")&amp;IF(AU253&lt;&gt;0,AU$5,"")</f>
        <v xml:space="preserve">TSC, </v>
      </c>
      <c r="L253" s="413" t="str">
        <f>IF(M253="","",$M$5&amp;":"&amp;M253&amp;";")&amp;IF(N253="","",$N$5&amp;":"&amp;N253&amp;";")&amp;IF(O253="","",$O$5&amp;":"&amp;O253&amp;";")&amp;IF(P253="","",$P$5&amp;":"&amp;P253&amp;";")&amp;IF(Q253="","",$Q$5&amp;":"&amp;Q253&amp;";")&amp;IF(R253="","",$R$5&amp;":"&amp;R253&amp;";")&amp;IF(S253="","",$S$5&amp;":"&amp;S253&amp;";")&amp;IF(T253="","",$T$5&amp;":"&amp;T253&amp;";")&amp;IF(U253="","",$U$5&amp;":"&amp;U253&amp;";")&amp;IF(V253="","",$V$5&amp;":"&amp;V253&amp;";")&amp;IF(W253="","",$W$5&amp;":"&amp;W253&amp;";")&amp;IF(X253="","",$X$5&amp;":"&amp;X253&amp;";")&amp;IF(Y253="","",$Y$5&amp;":"&amp;Y253&amp;";")&amp;IF(Z253="","",$Z$5&amp;":"&amp;Z253&amp;";")&amp;IF(AA253="","",$AA$5&amp;":"&amp;AA253&amp;";")&amp;IF(AB253="","",$AB$5&amp;":"&amp;AB253&amp;";")&amp;IF(AC253="","",$AC$5&amp;":"&amp;AC253&amp;";")&amp;IF(AD253="","",$AD$5&amp;":"&amp;AD253&amp;";")&amp;IF(AE253="","",$AE$5&amp;":"&amp;AE253&amp;";")&amp;IF(AF253="","",$AF$5&amp;":"&amp;AF253&amp;";")&amp;IF(AG253="","",$AG$5&amp;":"&amp;AG253&amp;";")&amp;IF(AH253="","",$AH$5&amp;":"&amp;AH253&amp;";")&amp;IF(AI253="","",$AI$5&amp;":"&amp;AI253&amp;";")&amp;IF(AJ253="","",$AJ$5&amp;":"&amp;AJ253&amp;";")&amp;IF(AK253="","",$AK$5&amp;":"&amp;AK253&amp;";")&amp;IF(AL253="","",$AL$5&amp;":"&amp;AL253&amp;";")&amp;IF(AM253="","",$AM$5&amp;":"&amp;AM253&amp;";")&amp;IF(AN253="","",$AN$5&amp;":"&amp;AN253&amp;";")&amp;IF(AO253="","",$AO$5&amp;":"&amp;AO253&amp;";")&amp;IF(AP253="","",$AP$5&amp;":"&amp;AP253&amp;";")&amp;IF(AQ253="","",$AQ$5&amp;":"&amp;AQ253&amp;";")&amp;IF(AR253="","",$AR$5&amp;":"&amp;AR253&amp;";")&amp;IF(AS253="","",$AS$5&amp;":"&amp;AS253&amp;";")&amp;IF(AT253="","",$AT$5&amp;":"&amp;AT253&amp;";")&amp;IF(AU253="","",$AU$5&amp;":"&amp;AU253&amp;";")</f>
        <v>TSC:0,2979;</v>
      </c>
      <c r="M253" s="351"/>
      <c r="N253" s="351"/>
      <c r="O253" s="351"/>
      <c r="P253" s="351"/>
      <c r="Q253" s="351"/>
      <c r="R253" s="351"/>
      <c r="S253" s="351"/>
      <c r="T253" s="351"/>
      <c r="U253" s="351"/>
      <c r="V253" s="351"/>
      <c r="W253" s="351"/>
      <c r="X253" s="351"/>
      <c r="Y253" s="351"/>
      <c r="Z253" s="351"/>
      <c r="AA253" s="351"/>
      <c r="AB253" s="351"/>
      <c r="AC253" s="351"/>
      <c r="AD253" s="351"/>
      <c r="AE253" s="351"/>
      <c r="AF253" s="351"/>
      <c r="AG253" s="351"/>
      <c r="AH253" s="351"/>
      <c r="AI253" s="351"/>
      <c r="AJ253" s="351"/>
      <c r="AK253" s="351"/>
      <c r="AL253" s="351"/>
      <c r="AM253" s="351"/>
      <c r="AN253" s="351">
        <v>0.2979</v>
      </c>
      <c r="AO253" s="351"/>
      <c r="AP253" s="351"/>
      <c r="AQ253" s="351"/>
      <c r="AR253" s="351"/>
      <c r="AS253" s="351"/>
      <c r="AT253" s="351"/>
      <c r="AU253" s="351"/>
      <c r="AV253" s="351" t="s">
        <v>217</v>
      </c>
      <c r="AW253" s="351" t="s">
        <v>217</v>
      </c>
      <c r="AX253" s="351" t="s">
        <v>648</v>
      </c>
      <c r="AY253" s="260" t="s">
        <v>648</v>
      </c>
      <c r="AZ253" s="181" t="s">
        <v>1351</v>
      </c>
      <c r="BA253" s="351"/>
      <c r="BB253" s="351"/>
      <c r="BC253" s="156" t="s">
        <v>316</v>
      </c>
      <c r="BD253" s="156"/>
      <c r="BE253" s="156"/>
      <c r="BF253" s="156" t="s">
        <v>263</v>
      </c>
      <c r="BG253" s="156"/>
      <c r="BH253" s="351"/>
    </row>
    <row r="254" spans="1:62" ht="31.5" customHeight="1">
      <c r="A254" s="172" t="s">
        <v>1729</v>
      </c>
      <c r="B254" s="159" t="s">
        <v>93</v>
      </c>
      <c r="C254" s="158"/>
      <c r="D254" s="351"/>
      <c r="E254" s="351"/>
      <c r="F254" s="361"/>
      <c r="G254" s="414"/>
      <c r="H254" s="413"/>
      <c r="I254" s="413"/>
      <c r="J254" s="413"/>
      <c r="K254" s="413" t="str">
        <f>IF(M254&lt;&gt;0,$M$5&amp;", ","")&amp;IF(N254&lt;&gt;0,$N$5&amp;", ","")&amp;IF(O254&lt;&gt;0,O$5&amp;", ","")&amp;IF(P254&lt;&gt;0,P$5&amp;", ","")&amp;IF(Q254&lt;&gt;0,Q$5&amp;", ","")&amp;IF(R254&lt;&gt;0,R$5&amp;", ","")&amp;IF(S254&lt;&gt;0,S$5&amp;", ","")&amp;IF(T254&lt;&gt;0,T$5&amp;", ","")&amp;IF(U254&lt;&gt;0,U$5&amp;", ","")&amp;IF(V254&lt;&gt;0,V$5&amp;", ","")&amp;IF(W254&lt;&gt;0,W$5&amp;", ","")&amp;IF(X254&lt;&gt;0,X$5&amp;", ","")&amp;IF(Y254&lt;&gt;0,Y$5&amp;", ","")&amp;IF(Z254&lt;&gt;0,Z$5&amp;", ","")&amp;IF(AA254&lt;&gt;0,AA$5&amp;", ","")&amp;IF(AB254&lt;&gt;0,AB$5&amp;", ","")&amp;IF(AC254&lt;&gt;0,AC$5&amp;", ","")&amp;IF(AD254&lt;&gt;0,AD$5&amp;", ","")&amp;IF(AE254&lt;&gt;0,AE$5&amp;", ","")&amp;IF(AF254&lt;&gt;0,AF$5&amp;", ","")&amp;IF(AG254&lt;&gt;0,AG$5&amp;", ","")&amp;IF(AH254&lt;&gt;0,AH$5&amp;", ","")&amp;IF(AI254&lt;&gt;0,AI$5&amp;", ","")&amp;IF(AJ254&lt;&gt;0,AJ$5&amp;", ","")&amp;IF(AK254&lt;&gt;0,AK$5&amp;", ","")&amp;IF(AL254&lt;&gt;0,AL$5&amp;", ","")&amp;IF(AM254&lt;&gt;0,AM$5&amp;", ","")&amp;IF(AN254&lt;&gt;0,AN$5&amp;", ","")&amp;IF(AO254&lt;&gt;0,AO$5&amp;", ","")&amp;IF(AP254&lt;&gt;0,AP$5&amp;", ","")&amp;IF(AQ254&lt;&gt;0,AQ$5&amp;", ","")&amp;IF(AR254&lt;&gt;0,AR$5,"")&amp;IF(AS254&lt;&gt;0,AS$5,"")&amp;IF(AT254&lt;&gt;0,AT$5,"")&amp;IF(AU254&lt;&gt;0,AU$5,"")</f>
        <v/>
      </c>
      <c r="L254" s="413" t="str">
        <f>IF(M254="","",$M$5&amp;":"&amp;M254&amp;";")&amp;IF(N254="","",$N$5&amp;":"&amp;N254&amp;";")&amp;IF(O254="","",$O$5&amp;":"&amp;O254&amp;";")&amp;IF(P254="","",$P$5&amp;":"&amp;P254&amp;";")&amp;IF(Q254="","",$Q$5&amp;":"&amp;Q254&amp;";")&amp;IF(R254="","",$R$5&amp;":"&amp;R254&amp;";")&amp;IF(S254="","",$S$5&amp;":"&amp;S254&amp;";")&amp;IF(T254="","",$T$5&amp;":"&amp;T254&amp;";")&amp;IF(U254="","",$U$5&amp;":"&amp;U254&amp;";")&amp;IF(V254="","",$V$5&amp;":"&amp;V254&amp;";")&amp;IF(W254="","",$W$5&amp;":"&amp;W254&amp;";")&amp;IF(X254="","",$X$5&amp;":"&amp;X254&amp;";")&amp;IF(Y254="","",$Y$5&amp;":"&amp;Y254&amp;";")&amp;IF(Z254="","",$Z$5&amp;":"&amp;Z254&amp;";")&amp;IF(AA254="","",$AA$5&amp;":"&amp;AA254&amp;";")&amp;IF(AB254="","",$AB$5&amp;":"&amp;AB254&amp;";")&amp;IF(AC254="","",$AC$5&amp;":"&amp;AC254&amp;";")&amp;IF(AD254="","",$AD$5&amp;":"&amp;AD254&amp;";")&amp;IF(AE254="","",$AE$5&amp;":"&amp;AE254&amp;";")&amp;IF(AF254="","",$AF$5&amp;":"&amp;AF254&amp;";")&amp;IF(AG254="","",$AG$5&amp;":"&amp;AG254&amp;";")&amp;IF(AH254="","",$AH$5&amp;":"&amp;AH254&amp;";")&amp;IF(AI254="","",$AI$5&amp;":"&amp;AI254&amp;";")&amp;IF(AJ254="","",$AJ$5&amp;":"&amp;AJ254&amp;";")&amp;IF(AK254="","",$AK$5&amp;":"&amp;AK254&amp;";")&amp;IF(AL254="","",$AL$5&amp;":"&amp;AL254&amp;";")&amp;IF(AM254="","",$AM$5&amp;":"&amp;AM254&amp;";")&amp;IF(AN254="","",$AN$5&amp;":"&amp;AN254&amp;";")&amp;IF(AO254="","",$AO$5&amp;":"&amp;AO254&amp;";")&amp;IF(AP254="","",$AP$5&amp;":"&amp;AP254&amp;";")&amp;IF(AQ254="","",$AQ$5&amp;":"&amp;AQ254&amp;";")&amp;IF(AR254="","",$AR$5&amp;":"&amp;AR254&amp;";")&amp;IF(AS254="","",$AS$5&amp;":"&amp;AS254&amp;";")&amp;IF(AT254="","",$AT$5&amp;":"&amp;AT254&amp;";")&amp;IF(AU254="","",$AU$5&amp;":"&amp;AU254&amp;";")</f>
        <v/>
      </c>
      <c r="M254" s="361"/>
      <c r="N254" s="361"/>
      <c r="O254" s="361"/>
      <c r="P254" s="361"/>
      <c r="Q254" s="361"/>
      <c r="R254" s="361"/>
      <c r="S254" s="361"/>
      <c r="T254" s="361"/>
      <c r="U254" s="361"/>
      <c r="V254" s="361"/>
      <c r="W254" s="361"/>
      <c r="X254" s="361"/>
      <c r="Y254" s="361"/>
      <c r="Z254" s="361"/>
      <c r="AA254" s="361"/>
      <c r="AB254" s="361"/>
      <c r="AC254" s="361"/>
      <c r="AD254" s="361"/>
      <c r="AE254" s="361"/>
      <c r="AF254" s="361"/>
      <c r="AG254" s="361"/>
      <c r="AH254" s="361"/>
      <c r="AI254" s="361"/>
      <c r="AJ254" s="361"/>
      <c r="AK254" s="361"/>
      <c r="AL254" s="361"/>
      <c r="AM254" s="361"/>
      <c r="AN254" s="361"/>
      <c r="AO254" s="361"/>
      <c r="AP254" s="361"/>
      <c r="AQ254" s="361"/>
      <c r="AR254" s="361"/>
      <c r="AS254" s="361"/>
      <c r="AT254" s="361"/>
      <c r="AU254" s="361"/>
      <c r="AV254" s="351"/>
      <c r="AW254" s="351"/>
      <c r="AX254" s="351"/>
      <c r="AY254" s="260"/>
      <c r="AZ254" s="181"/>
      <c r="BA254" s="351"/>
      <c r="BB254" s="351"/>
      <c r="BC254" s="156"/>
      <c r="BD254" s="156"/>
      <c r="BE254" s="156"/>
      <c r="BF254" s="156"/>
      <c r="BG254" s="156"/>
      <c r="BH254" s="351"/>
    </row>
    <row r="255" spans="1:62" s="179" customFormat="1" ht="24.65" customHeight="1">
      <c r="A255" s="145"/>
      <c r="B255" s="163" t="s">
        <v>1757</v>
      </c>
      <c r="C255" s="164"/>
      <c r="D255" s="368"/>
      <c r="E255" s="368"/>
      <c r="F255" s="368"/>
      <c r="G255" s="410"/>
      <c r="H255" s="411"/>
      <c r="I255" s="411"/>
      <c r="J255" s="411"/>
      <c r="K255" s="411"/>
      <c r="L255" s="411"/>
      <c r="M255" s="368"/>
      <c r="N255" s="368"/>
      <c r="O255" s="368"/>
      <c r="P255" s="368"/>
      <c r="Q255" s="368"/>
      <c r="R255" s="368"/>
      <c r="S255" s="368"/>
      <c r="T255" s="368"/>
      <c r="U255" s="368"/>
      <c r="V255" s="368"/>
      <c r="W255" s="368"/>
      <c r="X255" s="368"/>
      <c r="Y255" s="368"/>
      <c r="Z255" s="368"/>
      <c r="AA255" s="368"/>
      <c r="AB255" s="368"/>
      <c r="AC255" s="368"/>
      <c r="AD255" s="368"/>
      <c r="AE255" s="368"/>
      <c r="AF255" s="368"/>
      <c r="AG255" s="368"/>
      <c r="AH255" s="368"/>
      <c r="AI255" s="368"/>
      <c r="AJ255" s="368"/>
      <c r="AK255" s="368"/>
      <c r="AL255" s="368"/>
      <c r="AM255" s="368"/>
      <c r="AN255" s="368"/>
      <c r="AO255" s="368"/>
      <c r="AP255" s="368"/>
      <c r="AQ255" s="368"/>
      <c r="AR255" s="368"/>
      <c r="AS255" s="368"/>
      <c r="AT255" s="368"/>
      <c r="AU255" s="368"/>
      <c r="AV255" s="368"/>
      <c r="AW255" s="368"/>
      <c r="AX255" s="368"/>
      <c r="AY255" s="257"/>
      <c r="AZ255" s="178"/>
      <c r="BA255" s="368"/>
      <c r="BB255" s="368"/>
      <c r="BC255" s="165"/>
      <c r="BD255" s="165"/>
      <c r="BE255" s="165"/>
      <c r="BF255" s="165"/>
      <c r="BG255" s="165"/>
      <c r="BH255" s="368"/>
      <c r="BI255" s="412"/>
      <c r="BJ255" s="412"/>
    </row>
    <row r="256" spans="1:62" ht="54" customHeight="1">
      <c r="A256" s="344">
        <f>SUBTOTAL(3,C$11:$C256)</f>
        <v>171</v>
      </c>
      <c r="B256" s="201" t="s">
        <v>1368</v>
      </c>
      <c r="C256" s="338" t="s">
        <v>100</v>
      </c>
      <c r="D256" s="192">
        <v>0.05</v>
      </c>
      <c r="E256" s="192"/>
      <c r="F256" s="192">
        <v>0.05</v>
      </c>
      <c r="G256" s="414">
        <f t="shared" ref="G256:G275" si="35">SUM(M256:AR256)</f>
        <v>0.05</v>
      </c>
      <c r="H256" s="413" t="s">
        <v>18</v>
      </c>
      <c r="I256" s="413" t="s">
        <v>18</v>
      </c>
      <c r="J256" s="413"/>
      <c r="K256" s="413" t="str">
        <f t="shared" ref="K256:K275" si="36">IF(M256&lt;&gt;0,$M$5&amp;", ","")&amp;IF(N256&lt;&gt;0,$N$5&amp;", ","")&amp;IF(O256&lt;&gt;0,O$5&amp;", ","")&amp;IF(P256&lt;&gt;0,P$5&amp;", ","")&amp;IF(Q256&lt;&gt;0,Q$5&amp;", ","")&amp;IF(R256&lt;&gt;0,R$5&amp;", ","")&amp;IF(S256&lt;&gt;0,S$5&amp;", ","")&amp;IF(T256&lt;&gt;0,T$5&amp;", ","")&amp;IF(U256&lt;&gt;0,U$5&amp;", ","")&amp;IF(V256&lt;&gt;0,V$5&amp;", ","")&amp;IF(W256&lt;&gt;0,W$5&amp;", ","")&amp;IF(X256&lt;&gt;0,X$5&amp;", ","")&amp;IF(Y256&lt;&gt;0,Y$5&amp;", ","")&amp;IF(Z256&lt;&gt;0,Z$5&amp;", ","")&amp;IF(AA256&lt;&gt;0,AA$5&amp;", ","")&amp;IF(AB256&lt;&gt;0,AB$5&amp;", ","")&amp;IF(AC256&lt;&gt;0,AC$5&amp;", ","")&amp;IF(AD256&lt;&gt;0,AD$5&amp;", ","")&amp;IF(AE256&lt;&gt;0,AE$5&amp;", ","")&amp;IF(AF256&lt;&gt;0,AF$5&amp;", ","")&amp;IF(AG256&lt;&gt;0,AG$5&amp;", ","")&amp;IF(AH256&lt;&gt;0,AH$5&amp;", ","")&amp;IF(AI256&lt;&gt;0,AI$5&amp;", ","")&amp;IF(AJ256&lt;&gt;0,AJ$5&amp;", ","")&amp;IF(AK256&lt;&gt;0,AK$5&amp;", ","")&amp;IF(AL256&lt;&gt;0,AL$5&amp;", ","")&amp;IF(AM256&lt;&gt;0,AM$5&amp;", ","")&amp;IF(AN256&lt;&gt;0,AN$5&amp;", ","")&amp;IF(AO256&lt;&gt;0,AO$5&amp;", ","")&amp;IF(AP256&lt;&gt;0,AP$5&amp;", ","")&amp;IF(AQ256&lt;&gt;0,AQ$5&amp;", ","")&amp;IF(AR256&lt;&gt;0,AR$5,"")&amp;IF(AS256&lt;&gt;0,AS$5,"")&amp;IF(AT256&lt;&gt;0,AT$5,"")&amp;IF(AU256&lt;&gt;0,AU$5,"")</f>
        <v xml:space="preserve">NTS, </v>
      </c>
      <c r="L256" s="413" t="str">
        <f t="shared" ref="L256:L275" si="37">IF(M256="","",$M$5&amp;":"&amp;M256&amp;";")&amp;IF(N256="","",$N$5&amp;":"&amp;N256&amp;";")&amp;IF(O256="","",$O$5&amp;":"&amp;O256&amp;";")&amp;IF(P256="","",$P$5&amp;":"&amp;P256&amp;";")&amp;IF(Q256="","",$Q$5&amp;":"&amp;Q256&amp;";")&amp;IF(R256="","",$R$5&amp;":"&amp;R256&amp;";")&amp;IF(S256="","",$S$5&amp;":"&amp;S256&amp;";")&amp;IF(T256="","",$T$5&amp;":"&amp;T256&amp;";")&amp;IF(U256="","",$U$5&amp;":"&amp;U256&amp;";")&amp;IF(V256="","",$V$5&amp;":"&amp;V256&amp;";")&amp;IF(W256="","",$W$5&amp;":"&amp;W256&amp;";")&amp;IF(X256="","",$X$5&amp;":"&amp;X256&amp;";")&amp;IF(Y256="","",$Y$5&amp;":"&amp;Y256&amp;";")&amp;IF(Z256="","",$Z$5&amp;":"&amp;Z256&amp;";")&amp;IF(AA256="","",$AA$5&amp;":"&amp;AA256&amp;";")&amp;IF(AB256="","",$AB$5&amp;":"&amp;AB256&amp;";")&amp;IF(AC256="","",$AC$5&amp;":"&amp;AC256&amp;";")&amp;IF(AD256="","",$AD$5&amp;":"&amp;AD256&amp;";")&amp;IF(AE256="","",$AE$5&amp;":"&amp;AE256&amp;";")&amp;IF(AF256="","",$AF$5&amp;":"&amp;AF256&amp;";")&amp;IF(AG256="","",$AG$5&amp;":"&amp;AG256&amp;";")&amp;IF(AH256="","",$AH$5&amp;":"&amp;AH256&amp;";")&amp;IF(AI256="","",$AI$5&amp;":"&amp;AI256&amp;";")&amp;IF(AJ256="","",$AJ$5&amp;":"&amp;AJ256&amp;";")&amp;IF(AK256="","",$AK$5&amp;":"&amp;AK256&amp;";")&amp;IF(AL256="","",$AL$5&amp;":"&amp;AL256&amp;";")&amp;IF(AM256="","",$AM$5&amp;":"&amp;AM256&amp;";")&amp;IF(AN256="","",$AN$5&amp;":"&amp;AN256&amp;";")&amp;IF(AO256="","",$AO$5&amp;":"&amp;AO256&amp;";")&amp;IF(AP256="","",$AP$5&amp;":"&amp;AP256&amp;";")&amp;IF(AQ256="","",$AQ$5&amp;":"&amp;AQ256&amp;";")&amp;IF(AR256="","",$AR$5&amp;":"&amp;AR256&amp;";")&amp;IF(AS256="","",$AS$5&amp;":"&amp;AS256&amp;";")&amp;IF(AT256="","",$AT$5&amp;":"&amp;AT256&amp;";")&amp;IF(AU256="","",$AU$5&amp;":"&amp;AU256&amp;";")</f>
        <v>NTS:0,05;</v>
      </c>
      <c r="M256" s="192"/>
      <c r="N256" s="192"/>
      <c r="O256" s="192"/>
      <c r="P256" s="192"/>
      <c r="Q256" s="192">
        <v>0.05</v>
      </c>
      <c r="R256" s="192"/>
      <c r="S256" s="192"/>
      <c r="T256" s="192"/>
      <c r="U256" s="192"/>
      <c r="V256" s="192"/>
      <c r="W256" s="192"/>
      <c r="X256" s="192"/>
      <c r="Y256" s="192"/>
      <c r="Z256" s="192"/>
      <c r="AA256" s="192"/>
      <c r="AB256" s="192"/>
      <c r="AC256" s="192"/>
      <c r="AD256" s="192"/>
      <c r="AE256" s="192"/>
      <c r="AF256" s="192"/>
      <c r="AG256" s="192"/>
      <c r="AH256" s="192"/>
      <c r="AI256" s="192"/>
      <c r="AJ256" s="192"/>
      <c r="AK256" s="192"/>
      <c r="AL256" s="192"/>
      <c r="AM256" s="192"/>
      <c r="AN256" s="192"/>
      <c r="AO256" s="192"/>
      <c r="AP256" s="192"/>
      <c r="AQ256" s="192"/>
      <c r="AR256" s="192"/>
      <c r="AS256" s="192"/>
      <c r="AT256" s="192"/>
      <c r="AU256" s="192"/>
      <c r="AV256" s="350" t="s">
        <v>292</v>
      </c>
      <c r="AW256" s="350" t="s">
        <v>292</v>
      </c>
      <c r="AX256" s="350" t="s">
        <v>1752</v>
      </c>
      <c r="AY256" s="356"/>
      <c r="AZ256" s="352" t="s">
        <v>1369</v>
      </c>
      <c r="BA256" s="350"/>
      <c r="BB256" s="350"/>
      <c r="BC256" s="195" t="s">
        <v>270</v>
      </c>
      <c r="BD256" s="195"/>
      <c r="BE256" s="195"/>
      <c r="BF256" s="195" t="s">
        <v>263</v>
      </c>
      <c r="BG256" s="195"/>
      <c r="BH256" s="350"/>
    </row>
    <row r="257" spans="1:60" ht="45" customHeight="1">
      <c r="A257" s="344">
        <f>SUBTOTAL(3,C$11:$C257)</f>
        <v>172</v>
      </c>
      <c r="B257" s="200" t="s">
        <v>666</v>
      </c>
      <c r="C257" s="338" t="s">
        <v>100</v>
      </c>
      <c r="D257" s="192">
        <v>0.03</v>
      </c>
      <c r="E257" s="192"/>
      <c r="F257" s="192">
        <v>0.03</v>
      </c>
      <c r="G257" s="414">
        <f t="shared" si="35"/>
        <v>0.03</v>
      </c>
      <c r="H257" s="413" t="s">
        <v>5</v>
      </c>
      <c r="I257" s="413" t="s">
        <v>7</v>
      </c>
      <c r="J257" s="413"/>
      <c r="K257" s="413" t="str">
        <f t="shared" si="36"/>
        <v xml:space="preserve">LUC, </v>
      </c>
      <c r="L257" s="413" t="str">
        <f t="shared" si="37"/>
        <v>LUC:0,03;</v>
      </c>
      <c r="M257" s="192">
        <v>0.03</v>
      </c>
      <c r="N257" s="192"/>
      <c r="O257" s="192"/>
      <c r="P257" s="192"/>
      <c r="Q257" s="192"/>
      <c r="R257" s="192"/>
      <c r="S257" s="192"/>
      <c r="T257" s="192"/>
      <c r="U257" s="192"/>
      <c r="V257" s="192"/>
      <c r="W257" s="192"/>
      <c r="X257" s="192"/>
      <c r="Y257" s="192"/>
      <c r="Z257" s="192"/>
      <c r="AA257" s="192"/>
      <c r="AB257" s="192"/>
      <c r="AC257" s="192"/>
      <c r="AD257" s="192"/>
      <c r="AE257" s="192"/>
      <c r="AF257" s="192"/>
      <c r="AG257" s="192"/>
      <c r="AH257" s="192"/>
      <c r="AI257" s="192"/>
      <c r="AJ257" s="192"/>
      <c r="AK257" s="192"/>
      <c r="AL257" s="192"/>
      <c r="AM257" s="192"/>
      <c r="AN257" s="192"/>
      <c r="AO257" s="192"/>
      <c r="AP257" s="192"/>
      <c r="AQ257" s="192"/>
      <c r="AR257" s="192"/>
      <c r="AS257" s="192"/>
      <c r="AT257" s="192"/>
      <c r="AU257" s="192"/>
      <c r="AV257" s="350" t="s">
        <v>300</v>
      </c>
      <c r="AW257" s="350" t="s">
        <v>300</v>
      </c>
      <c r="AX257" s="350" t="s">
        <v>667</v>
      </c>
      <c r="AY257" s="356" t="s">
        <v>667</v>
      </c>
      <c r="AZ257" s="352" t="s">
        <v>1370</v>
      </c>
      <c r="BA257" s="350"/>
      <c r="BB257" s="350"/>
      <c r="BC257" s="195" t="s">
        <v>270</v>
      </c>
      <c r="BD257" s="195"/>
      <c r="BE257" s="195"/>
      <c r="BF257" s="195" t="s">
        <v>263</v>
      </c>
      <c r="BG257" s="195"/>
      <c r="BH257" s="350"/>
    </row>
    <row r="258" spans="1:60" ht="35.15" customHeight="1">
      <c r="A258" s="344">
        <f>SUBTOTAL(3,C$11:$C258)</f>
        <v>173</v>
      </c>
      <c r="B258" s="201" t="s">
        <v>671</v>
      </c>
      <c r="C258" s="338" t="s">
        <v>100</v>
      </c>
      <c r="D258" s="191">
        <v>0.1</v>
      </c>
      <c r="E258" s="191"/>
      <c r="F258" s="191">
        <v>0.1</v>
      </c>
      <c r="G258" s="414">
        <f t="shared" si="35"/>
        <v>0.1</v>
      </c>
      <c r="H258" s="413" t="s">
        <v>11</v>
      </c>
      <c r="I258" s="413" t="s">
        <v>11</v>
      </c>
      <c r="J258" s="413"/>
      <c r="K258" s="413" t="str">
        <f t="shared" si="36"/>
        <v xml:space="preserve">HNK, </v>
      </c>
      <c r="L258" s="413" t="str">
        <f t="shared" si="37"/>
        <v>HNK:0,1;</v>
      </c>
      <c r="M258" s="191"/>
      <c r="N258" s="191"/>
      <c r="O258" s="191">
        <v>0.1</v>
      </c>
      <c r="P258" s="191"/>
      <c r="Q258" s="191"/>
      <c r="R258" s="191"/>
      <c r="S258" s="191"/>
      <c r="T258" s="191"/>
      <c r="U258" s="191"/>
      <c r="V258" s="191"/>
      <c r="W258" s="191"/>
      <c r="X258" s="191"/>
      <c r="Y258" s="191"/>
      <c r="Z258" s="191"/>
      <c r="AA258" s="191"/>
      <c r="AB258" s="191"/>
      <c r="AC258" s="191"/>
      <c r="AD258" s="191"/>
      <c r="AE258" s="191"/>
      <c r="AF258" s="191"/>
      <c r="AG258" s="191"/>
      <c r="AH258" s="191"/>
      <c r="AI258" s="191"/>
      <c r="AJ258" s="191"/>
      <c r="AK258" s="191"/>
      <c r="AL258" s="191"/>
      <c r="AM258" s="191"/>
      <c r="AN258" s="191"/>
      <c r="AO258" s="191"/>
      <c r="AP258" s="191"/>
      <c r="AQ258" s="191"/>
      <c r="AR258" s="191"/>
      <c r="AS258" s="191"/>
      <c r="AT258" s="191"/>
      <c r="AU258" s="191"/>
      <c r="AV258" s="350" t="s">
        <v>286</v>
      </c>
      <c r="AW258" s="350" t="s">
        <v>286</v>
      </c>
      <c r="AX258" s="350" t="s">
        <v>426</v>
      </c>
      <c r="AY258" s="356" t="s">
        <v>426</v>
      </c>
      <c r="AZ258" s="352" t="s">
        <v>1374</v>
      </c>
      <c r="BA258" s="350"/>
      <c r="BB258" s="350"/>
      <c r="BC258" s="195" t="s">
        <v>270</v>
      </c>
      <c r="BD258" s="195"/>
      <c r="BE258" s="195"/>
      <c r="BF258" s="195" t="s">
        <v>263</v>
      </c>
      <c r="BG258" s="195"/>
      <c r="BH258" s="350"/>
    </row>
    <row r="259" spans="1:60" ht="35.15" customHeight="1">
      <c r="A259" s="344">
        <f>SUBTOTAL(3,C$11:$C259)</f>
        <v>174</v>
      </c>
      <c r="B259" s="201" t="s">
        <v>672</v>
      </c>
      <c r="C259" s="338" t="s">
        <v>100</v>
      </c>
      <c r="D259" s="191">
        <v>0.1</v>
      </c>
      <c r="E259" s="191"/>
      <c r="F259" s="191">
        <v>0.1</v>
      </c>
      <c r="G259" s="414">
        <f t="shared" si="35"/>
        <v>0.1</v>
      </c>
      <c r="H259" s="413" t="s">
        <v>18</v>
      </c>
      <c r="I259" s="413" t="s">
        <v>18</v>
      </c>
      <c r="J259" s="413"/>
      <c r="K259" s="413" t="str">
        <f t="shared" si="36"/>
        <v xml:space="preserve">NTS, </v>
      </c>
      <c r="L259" s="413" t="str">
        <f t="shared" si="37"/>
        <v>NTS:0,1;</v>
      </c>
      <c r="M259" s="191"/>
      <c r="N259" s="191"/>
      <c r="O259" s="191"/>
      <c r="P259" s="191"/>
      <c r="Q259" s="191">
        <v>0.1</v>
      </c>
      <c r="R259" s="191"/>
      <c r="S259" s="191"/>
      <c r="T259" s="191"/>
      <c r="U259" s="191"/>
      <c r="V259" s="191"/>
      <c r="W259" s="191"/>
      <c r="X259" s="191"/>
      <c r="Y259" s="191"/>
      <c r="Z259" s="191"/>
      <c r="AA259" s="191"/>
      <c r="AB259" s="191"/>
      <c r="AC259" s="191"/>
      <c r="AD259" s="191"/>
      <c r="AE259" s="191"/>
      <c r="AF259" s="191"/>
      <c r="AG259" s="191"/>
      <c r="AH259" s="191"/>
      <c r="AI259" s="191"/>
      <c r="AJ259" s="191"/>
      <c r="AK259" s="191"/>
      <c r="AL259" s="191"/>
      <c r="AM259" s="191"/>
      <c r="AN259" s="191"/>
      <c r="AO259" s="191"/>
      <c r="AP259" s="191"/>
      <c r="AQ259" s="191"/>
      <c r="AR259" s="191"/>
      <c r="AS259" s="191"/>
      <c r="AT259" s="191"/>
      <c r="AU259" s="191"/>
      <c r="AV259" s="350" t="s">
        <v>286</v>
      </c>
      <c r="AW259" s="350" t="s">
        <v>286</v>
      </c>
      <c r="AX259" s="350" t="s">
        <v>426</v>
      </c>
      <c r="AY259" s="356" t="s">
        <v>426</v>
      </c>
      <c r="AZ259" s="352" t="s">
        <v>1375</v>
      </c>
      <c r="BA259" s="350"/>
      <c r="BB259" s="350"/>
      <c r="BC259" s="195" t="s">
        <v>270</v>
      </c>
      <c r="BD259" s="195"/>
      <c r="BE259" s="195"/>
      <c r="BF259" s="195" t="s">
        <v>263</v>
      </c>
      <c r="BG259" s="195"/>
      <c r="BH259" s="350"/>
    </row>
    <row r="260" spans="1:60" ht="35.15" customHeight="1">
      <c r="A260" s="344">
        <f>SUBTOTAL(3,C$11:$C260)</f>
        <v>175</v>
      </c>
      <c r="B260" s="201" t="s">
        <v>673</v>
      </c>
      <c r="C260" s="338" t="s">
        <v>100</v>
      </c>
      <c r="D260" s="191">
        <v>0.1</v>
      </c>
      <c r="E260" s="191"/>
      <c r="F260" s="191">
        <v>0.1</v>
      </c>
      <c r="G260" s="414">
        <f t="shared" si="35"/>
        <v>0.1</v>
      </c>
      <c r="H260" s="413" t="s">
        <v>5</v>
      </c>
      <c r="I260" s="413" t="s">
        <v>7</v>
      </c>
      <c r="J260" s="413"/>
      <c r="K260" s="413" t="str">
        <f t="shared" si="36"/>
        <v xml:space="preserve">LUC, </v>
      </c>
      <c r="L260" s="413" t="str">
        <f t="shared" si="37"/>
        <v>LUC:0,1;</v>
      </c>
      <c r="M260" s="191">
        <v>0.1</v>
      </c>
      <c r="N260" s="191"/>
      <c r="O260" s="191"/>
      <c r="P260" s="191"/>
      <c r="Q260" s="191"/>
      <c r="R260" s="191"/>
      <c r="S260" s="191"/>
      <c r="T260" s="191"/>
      <c r="U260" s="191"/>
      <c r="V260" s="191"/>
      <c r="W260" s="191"/>
      <c r="X260" s="191"/>
      <c r="Y260" s="191"/>
      <c r="Z260" s="191"/>
      <c r="AA260" s="191"/>
      <c r="AB260" s="191"/>
      <c r="AC260" s="191"/>
      <c r="AD260" s="191"/>
      <c r="AE260" s="191"/>
      <c r="AF260" s="191"/>
      <c r="AG260" s="191"/>
      <c r="AH260" s="191"/>
      <c r="AI260" s="191"/>
      <c r="AJ260" s="191"/>
      <c r="AK260" s="191"/>
      <c r="AL260" s="191"/>
      <c r="AM260" s="191"/>
      <c r="AN260" s="191"/>
      <c r="AO260" s="191"/>
      <c r="AP260" s="191"/>
      <c r="AQ260" s="191"/>
      <c r="AR260" s="191"/>
      <c r="AS260" s="191"/>
      <c r="AT260" s="191"/>
      <c r="AU260" s="191"/>
      <c r="AV260" s="350" t="s">
        <v>286</v>
      </c>
      <c r="AW260" s="350" t="s">
        <v>286</v>
      </c>
      <c r="AX260" s="350" t="s">
        <v>426</v>
      </c>
      <c r="AY260" s="356" t="s">
        <v>426</v>
      </c>
      <c r="AZ260" s="352" t="s">
        <v>1376</v>
      </c>
      <c r="BA260" s="350"/>
      <c r="BB260" s="350"/>
      <c r="BC260" s="195" t="s">
        <v>270</v>
      </c>
      <c r="BD260" s="195"/>
      <c r="BE260" s="195"/>
      <c r="BF260" s="195" t="s">
        <v>263</v>
      </c>
      <c r="BG260" s="195"/>
      <c r="BH260" s="350"/>
    </row>
    <row r="261" spans="1:60" ht="35.15" customHeight="1">
      <c r="A261" s="344">
        <f>SUBTOTAL(3,C$11:$C261)</f>
        <v>176</v>
      </c>
      <c r="B261" s="201" t="s">
        <v>674</v>
      </c>
      <c r="C261" s="338" t="s">
        <v>100</v>
      </c>
      <c r="D261" s="191">
        <v>0.1</v>
      </c>
      <c r="E261" s="191"/>
      <c r="F261" s="191">
        <v>0.1</v>
      </c>
      <c r="G261" s="414">
        <f t="shared" si="35"/>
        <v>0.1</v>
      </c>
      <c r="H261" s="413" t="s">
        <v>18</v>
      </c>
      <c r="I261" s="413" t="s">
        <v>18</v>
      </c>
      <c r="J261" s="413"/>
      <c r="K261" s="413" t="str">
        <f t="shared" si="36"/>
        <v xml:space="preserve">NTS, </v>
      </c>
      <c r="L261" s="413" t="str">
        <f t="shared" si="37"/>
        <v>NTS:0,1;</v>
      </c>
      <c r="M261" s="191"/>
      <c r="N261" s="191"/>
      <c r="O261" s="191"/>
      <c r="P261" s="191"/>
      <c r="Q261" s="191">
        <v>0.1</v>
      </c>
      <c r="R261" s="191"/>
      <c r="S261" s="191"/>
      <c r="T261" s="191"/>
      <c r="U261" s="191"/>
      <c r="V261" s="191"/>
      <c r="W261" s="191"/>
      <c r="X261" s="191"/>
      <c r="Y261" s="191"/>
      <c r="Z261" s="191"/>
      <c r="AA261" s="191"/>
      <c r="AB261" s="191"/>
      <c r="AC261" s="191"/>
      <c r="AD261" s="191"/>
      <c r="AE261" s="191"/>
      <c r="AF261" s="191"/>
      <c r="AG261" s="191"/>
      <c r="AH261" s="191"/>
      <c r="AI261" s="191"/>
      <c r="AJ261" s="191"/>
      <c r="AK261" s="191"/>
      <c r="AL261" s="191"/>
      <c r="AM261" s="191"/>
      <c r="AN261" s="191"/>
      <c r="AO261" s="191"/>
      <c r="AP261" s="191"/>
      <c r="AQ261" s="191"/>
      <c r="AR261" s="191"/>
      <c r="AS261" s="191"/>
      <c r="AT261" s="191"/>
      <c r="AU261" s="191"/>
      <c r="AV261" s="350" t="s">
        <v>286</v>
      </c>
      <c r="AW261" s="350" t="s">
        <v>286</v>
      </c>
      <c r="AX261" s="350" t="s">
        <v>337</v>
      </c>
      <c r="AY261" s="356" t="s">
        <v>337</v>
      </c>
      <c r="AZ261" s="352" t="s">
        <v>1377</v>
      </c>
      <c r="BA261" s="350"/>
      <c r="BB261" s="350"/>
      <c r="BC261" s="195" t="s">
        <v>270</v>
      </c>
      <c r="BD261" s="195"/>
      <c r="BE261" s="195"/>
      <c r="BF261" s="195" t="s">
        <v>263</v>
      </c>
      <c r="BG261" s="195"/>
      <c r="BH261" s="350"/>
    </row>
    <row r="262" spans="1:60" ht="35.15" customHeight="1">
      <c r="A262" s="344">
        <f>SUBTOTAL(3,C$11:$C262)</f>
        <v>177</v>
      </c>
      <c r="B262" s="201" t="s">
        <v>675</v>
      </c>
      <c r="C262" s="338" t="s">
        <v>100</v>
      </c>
      <c r="D262" s="191">
        <v>0.1</v>
      </c>
      <c r="E262" s="191"/>
      <c r="F262" s="191">
        <v>0.1</v>
      </c>
      <c r="G262" s="414">
        <f t="shared" si="35"/>
        <v>0.1</v>
      </c>
      <c r="H262" s="413" t="s">
        <v>18</v>
      </c>
      <c r="I262" s="413" t="s">
        <v>18</v>
      </c>
      <c r="J262" s="413"/>
      <c r="K262" s="413" t="str">
        <f t="shared" si="36"/>
        <v xml:space="preserve">NTS, </v>
      </c>
      <c r="L262" s="413" t="str">
        <f t="shared" si="37"/>
        <v>NTS:0,1;</v>
      </c>
      <c r="M262" s="191"/>
      <c r="N262" s="191"/>
      <c r="O262" s="191"/>
      <c r="P262" s="191"/>
      <c r="Q262" s="191">
        <v>0.1</v>
      </c>
      <c r="R262" s="191"/>
      <c r="S262" s="191"/>
      <c r="T262" s="191"/>
      <c r="U262" s="191"/>
      <c r="V262" s="191"/>
      <c r="W262" s="191"/>
      <c r="X262" s="191"/>
      <c r="Y262" s="191"/>
      <c r="Z262" s="191"/>
      <c r="AA262" s="191"/>
      <c r="AB262" s="191"/>
      <c r="AC262" s="191"/>
      <c r="AD262" s="191"/>
      <c r="AE262" s="191"/>
      <c r="AF262" s="191"/>
      <c r="AG262" s="191"/>
      <c r="AH262" s="191"/>
      <c r="AI262" s="191"/>
      <c r="AJ262" s="191"/>
      <c r="AK262" s="191"/>
      <c r="AL262" s="191"/>
      <c r="AM262" s="191"/>
      <c r="AN262" s="191"/>
      <c r="AO262" s="191"/>
      <c r="AP262" s="191"/>
      <c r="AQ262" s="191"/>
      <c r="AR262" s="191"/>
      <c r="AS262" s="191"/>
      <c r="AT262" s="191"/>
      <c r="AU262" s="191"/>
      <c r="AV262" s="350" t="s">
        <v>286</v>
      </c>
      <c r="AW262" s="350" t="s">
        <v>286</v>
      </c>
      <c r="AX262" s="350" t="s">
        <v>772</v>
      </c>
      <c r="AY262" s="356" t="s">
        <v>772</v>
      </c>
      <c r="AZ262" s="352" t="s">
        <v>1378</v>
      </c>
      <c r="BA262" s="350"/>
      <c r="BB262" s="350"/>
      <c r="BC262" s="195" t="s">
        <v>270</v>
      </c>
      <c r="BD262" s="195"/>
      <c r="BE262" s="195"/>
      <c r="BF262" s="195" t="s">
        <v>263</v>
      </c>
      <c r="BG262" s="195"/>
      <c r="BH262" s="350"/>
    </row>
    <row r="263" spans="1:60" ht="35.15" customHeight="1">
      <c r="A263" s="344">
        <f>SUBTOTAL(3,C$11:$C263)</f>
        <v>178</v>
      </c>
      <c r="B263" s="201" t="s">
        <v>697</v>
      </c>
      <c r="C263" s="338" t="s">
        <v>100</v>
      </c>
      <c r="D263" s="350">
        <v>0.05</v>
      </c>
      <c r="E263" s="350"/>
      <c r="F263" s="350">
        <v>0.05</v>
      </c>
      <c r="G263" s="414">
        <f t="shared" si="35"/>
        <v>0.05</v>
      </c>
      <c r="H263" s="413" t="s">
        <v>5</v>
      </c>
      <c r="I263" s="413" t="s">
        <v>7</v>
      </c>
      <c r="J263" s="413"/>
      <c r="K263" s="413" t="str">
        <f t="shared" si="36"/>
        <v xml:space="preserve">LUC, </v>
      </c>
      <c r="L263" s="413" t="str">
        <f t="shared" si="37"/>
        <v>LUC:0,05;</v>
      </c>
      <c r="M263" s="350">
        <v>0.05</v>
      </c>
      <c r="N263" s="350"/>
      <c r="O263" s="350"/>
      <c r="P263" s="350"/>
      <c r="Q263" s="350"/>
      <c r="R263" s="350"/>
      <c r="S263" s="350"/>
      <c r="T263" s="350"/>
      <c r="U263" s="350"/>
      <c r="V263" s="350"/>
      <c r="W263" s="350"/>
      <c r="X263" s="350"/>
      <c r="Y263" s="350"/>
      <c r="Z263" s="350"/>
      <c r="AA263" s="350"/>
      <c r="AB263" s="350"/>
      <c r="AC263" s="350"/>
      <c r="AD263" s="350"/>
      <c r="AE263" s="350"/>
      <c r="AF263" s="350"/>
      <c r="AG263" s="350"/>
      <c r="AH263" s="350"/>
      <c r="AI263" s="350"/>
      <c r="AJ263" s="350"/>
      <c r="AK263" s="350"/>
      <c r="AL263" s="350"/>
      <c r="AM263" s="350"/>
      <c r="AN263" s="350"/>
      <c r="AO263" s="350"/>
      <c r="AP263" s="350"/>
      <c r="AQ263" s="350"/>
      <c r="AR263" s="350"/>
      <c r="AS263" s="350"/>
      <c r="AT263" s="350"/>
      <c r="AU263" s="350"/>
      <c r="AV263" s="338" t="s">
        <v>289</v>
      </c>
      <c r="AW263" s="338" t="s">
        <v>289</v>
      </c>
      <c r="AX263" s="432" t="s">
        <v>698</v>
      </c>
      <c r="AY263" s="433" t="s">
        <v>698</v>
      </c>
      <c r="AZ263" s="434" t="s">
        <v>1389</v>
      </c>
      <c r="BA263" s="432" t="s">
        <v>11</v>
      </c>
      <c r="BB263" s="432"/>
      <c r="BC263" s="478" t="s">
        <v>316</v>
      </c>
      <c r="BD263" s="478"/>
      <c r="BE263" s="478"/>
      <c r="BF263" s="478" t="s">
        <v>263</v>
      </c>
      <c r="BG263" s="478" t="s">
        <v>263</v>
      </c>
      <c r="BH263" s="432"/>
    </row>
    <row r="264" spans="1:60" ht="45" customHeight="1">
      <c r="A264" s="344">
        <f>SUBTOTAL(3,C$11:$C264)</f>
        <v>179</v>
      </c>
      <c r="B264" s="337" t="s">
        <v>649</v>
      </c>
      <c r="C264" s="338" t="s">
        <v>100</v>
      </c>
      <c r="D264" s="361">
        <v>0.05</v>
      </c>
      <c r="E264" s="366"/>
      <c r="F264" s="361">
        <v>0.05</v>
      </c>
      <c r="G264" s="414">
        <f t="shared" si="35"/>
        <v>0.05</v>
      </c>
      <c r="H264" s="413" t="s">
        <v>48</v>
      </c>
      <c r="I264" s="413" t="s">
        <v>48</v>
      </c>
      <c r="J264" s="413"/>
      <c r="K264" s="413" t="str">
        <f t="shared" si="36"/>
        <v xml:space="preserve">DGD, </v>
      </c>
      <c r="L264" s="413" t="str">
        <f t="shared" si="37"/>
        <v>DGD:0,05;</v>
      </c>
      <c r="M264" s="361"/>
      <c r="N264" s="361"/>
      <c r="O264" s="361"/>
      <c r="P264" s="361"/>
      <c r="Q264" s="361"/>
      <c r="R264" s="361"/>
      <c r="S264" s="361"/>
      <c r="T264" s="361"/>
      <c r="U264" s="361"/>
      <c r="V264" s="361"/>
      <c r="W264" s="361"/>
      <c r="X264" s="361"/>
      <c r="Y264" s="361"/>
      <c r="Z264" s="361"/>
      <c r="AA264" s="361">
        <v>0.05</v>
      </c>
      <c r="AB264" s="361"/>
      <c r="AC264" s="361"/>
      <c r="AD264" s="361"/>
      <c r="AE264" s="361"/>
      <c r="AF264" s="361"/>
      <c r="AG264" s="361"/>
      <c r="AH264" s="361"/>
      <c r="AI264" s="361"/>
      <c r="AJ264" s="361"/>
      <c r="AK264" s="361"/>
      <c r="AL264" s="361"/>
      <c r="AM264" s="361"/>
      <c r="AN264" s="361"/>
      <c r="AO264" s="361"/>
      <c r="AP264" s="361"/>
      <c r="AQ264" s="361"/>
      <c r="AR264" s="361"/>
      <c r="AS264" s="361"/>
      <c r="AT264" s="361"/>
      <c r="AU264" s="361"/>
      <c r="AV264" s="338" t="s">
        <v>303</v>
      </c>
      <c r="AW264" s="338" t="s">
        <v>303</v>
      </c>
      <c r="AX264" s="350" t="s">
        <v>650</v>
      </c>
      <c r="AY264" s="356" t="s">
        <v>650</v>
      </c>
      <c r="AZ264" s="352" t="s">
        <v>1352</v>
      </c>
      <c r="BA264" s="350"/>
      <c r="BB264" s="350"/>
      <c r="BC264" s="195" t="s">
        <v>270</v>
      </c>
      <c r="BD264" s="195"/>
      <c r="BE264" s="195"/>
      <c r="BF264" s="195" t="s">
        <v>263</v>
      </c>
      <c r="BG264" s="195"/>
      <c r="BH264" s="350"/>
    </row>
    <row r="265" spans="1:60" ht="45" customHeight="1">
      <c r="A265" s="344">
        <f>SUBTOTAL(3,C$11:$C265)</f>
        <v>180</v>
      </c>
      <c r="B265" s="337" t="s">
        <v>655</v>
      </c>
      <c r="C265" s="338" t="s">
        <v>100</v>
      </c>
      <c r="D265" s="361">
        <v>0.05</v>
      </c>
      <c r="E265" s="366"/>
      <c r="F265" s="361">
        <v>0.05</v>
      </c>
      <c r="G265" s="414">
        <f t="shared" si="35"/>
        <v>0.05</v>
      </c>
      <c r="H265" s="413" t="s">
        <v>55</v>
      </c>
      <c r="I265" s="413" t="s">
        <v>55</v>
      </c>
      <c r="J265" s="413"/>
      <c r="K265" s="413" t="str">
        <f t="shared" si="36"/>
        <v xml:space="preserve">ODT, </v>
      </c>
      <c r="L265" s="413" t="str">
        <f t="shared" si="37"/>
        <v>ODT:0,05;</v>
      </c>
      <c r="M265" s="361"/>
      <c r="N265" s="361"/>
      <c r="O265" s="361"/>
      <c r="P265" s="361"/>
      <c r="Q265" s="361"/>
      <c r="R265" s="361"/>
      <c r="S265" s="361"/>
      <c r="T265" s="361"/>
      <c r="U265" s="361"/>
      <c r="V265" s="361"/>
      <c r="W265" s="361"/>
      <c r="X265" s="361"/>
      <c r="Y265" s="361"/>
      <c r="Z265" s="361"/>
      <c r="AA265" s="361"/>
      <c r="AB265" s="361"/>
      <c r="AC265" s="361"/>
      <c r="AD265" s="361"/>
      <c r="AE265" s="361"/>
      <c r="AF265" s="361"/>
      <c r="AG265" s="361"/>
      <c r="AH265" s="361"/>
      <c r="AI265" s="361"/>
      <c r="AJ265" s="361"/>
      <c r="AK265" s="361"/>
      <c r="AL265" s="361"/>
      <c r="AM265" s="361">
        <v>0.05</v>
      </c>
      <c r="AN265" s="361"/>
      <c r="AO265" s="361"/>
      <c r="AP265" s="361"/>
      <c r="AQ265" s="361"/>
      <c r="AR265" s="361"/>
      <c r="AS265" s="361"/>
      <c r="AT265" s="361"/>
      <c r="AU265" s="361"/>
      <c r="AV265" s="338" t="s">
        <v>656</v>
      </c>
      <c r="AW265" s="338" t="s">
        <v>656</v>
      </c>
      <c r="AX265" s="350" t="s">
        <v>657</v>
      </c>
      <c r="AY265" s="356" t="s">
        <v>657</v>
      </c>
      <c r="AZ265" s="352" t="s">
        <v>1355</v>
      </c>
      <c r="BA265" s="350"/>
      <c r="BB265" s="350"/>
      <c r="BC265" s="195" t="s">
        <v>270</v>
      </c>
      <c r="BD265" s="195"/>
      <c r="BE265" s="195"/>
      <c r="BF265" s="195" t="s">
        <v>263</v>
      </c>
      <c r="BG265" s="195"/>
      <c r="BH265" s="350"/>
    </row>
    <row r="266" spans="1:60" ht="35.15" customHeight="1">
      <c r="A266" s="344">
        <f>SUBTOTAL(3,C$11:$C266)</f>
        <v>181</v>
      </c>
      <c r="B266" s="337" t="s">
        <v>659</v>
      </c>
      <c r="C266" s="338" t="s">
        <v>100</v>
      </c>
      <c r="D266" s="361">
        <v>0.03</v>
      </c>
      <c r="E266" s="366"/>
      <c r="F266" s="361">
        <v>0.03</v>
      </c>
      <c r="G266" s="414">
        <f t="shared" si="35"/>
        <v>0.03</v>
      </c>
      <c r="H266" s="413" t="s">
        <v>55</v>
      </c>
      <c r="I266" s="413" t="s">
        <v>55</v>
      </c>
      <c r="J266" s="413"/>
      <c r="K266" s="413" t="str">
        <f t="shared" si="36"/>
        <v xml:space="preserve">ODT, </v>
      </c>
      <c r="L266" s="413" t="str">
        <f t="shared" si="37"/>
        <v>ODT:0,03;</v>
      </c>
      <c r="M266" s="361"/>
      <c r="N266" s="361"/>
      <c r="O266" s="361"/>
      <c r="P266" s="361"/>
      <c r="Q266" s="361"/>
      <c r="R266" s="361"/>
      <c r="S266" s="361"/>
      <c r="T266" s="361"/>
      <c r="U266" s="361"/>
      <c r="V266" s="361"/>
      <c r="W266" s="361"/>
      <c r="X266" s="361"/>
      <c r="Y266" s="361"/>
      <c r="Z266" s="361"/>
      <c r="AA266" s="361"/>
      <c r="AB266" s="361"/>
      <c r="AC266" s="361"/>
      <c r="AD266" s="361"/>
      <c r="AE266" s="361"/>
      <c r="AF266" s="361"/>
      <c r="AG266" s="361"/>
      <c r="AH266" s="361"/>
      <c r="AI266" s="361"/>
      <c r="AJ266" s="361"/>
      <c r="AK266" s="361"/>
      <c r="AL266" s="361"/>
      <c r="AM266" s="361">
        <v>0.03</v>
      </c>
      <c r="AN266" s="361"/>
      <c r="AO266" s="361"/>
      <c r="AP266" s="361"/>
      <c r="AQ266" s="361"/>
      <c r="AR266" s="361"/>
      <c r="AS266" s="361"/>
      <c r="AT266" s="361"/>
      <c r="AU266" s="361"/>
      <c r="AV266" s="338" t="s">
        <v>217</v>
      </c>
      <c r="AW266" s="338" t="s">
        <v>217</v>
      </c>
      <c r="AX266" s="350" t="s">
        <v>337</v>
      </c>
      <c r="AY266" s="356" t="s">
        <v>337</v>
      </c>
      <c r="AZ266" s="352" t="s">
        <v>1358</v>
      </c>
      <c r="BA266" s="350"/>
      <c r="BB266" s="350"/>
      <c r="BC266" s="195" t="s">
        <v>270</v>
      </c>
      <c r="BD266" s="195"/>
      <c r="BE266" s="195"/>
      <c r="BF266" s="195" t="s">
        <v>263</v>
      </c>
      <c r="BG266" s="195"/>
      <c r="BH266" s="350"/>
    </row>
    <row r="267" spans="1:60" ht="35.15" customHeight="1">
      <c r="A267" s="344">
        <f>SUBTOTAL(3,C$11:$C267)</f>
        <v>182</v>
      </c>
      <c r="B267" s="337" t="s">
        <v>661</v>
      </c>
      <c r="C267" s="338" t="s">
        <v>100</v>
      </c>
      <c r="D267" s="361">
        <v>0.01</v>
      </c>
      <c r="E267" s="366"/>
      <c r="F267" s="361">
        <v>0.01</v>
      </c>
      <c r="G267" s="414">
        <f t="shared" si="35"/>
        <v>0.01</v>
      </c>
      <c r="H267" s="413" t="s">
        <v>55</v>
      </c>
      <c r="I267" s="413" t="s">
        <v>55</v>
      </c>
      <c r="J267" s="413"/>
      <c r="K267" s="413" t="str">
        <f t="shared" si="36"/>
        <v xml:space="preserve">ODT, </v>
      </c>
      <c r="L267" s="413" t="str">
        <f t="shared" si="37"/>
        <v>ODT:0,01;</v>
      </c>
      <c r="M267" s="361"/>
      <c r="N267" s="361"/>
      <c r="O267" s="361"/>
      <c r="P267" s="361"/>
      <c r="Q267" s="361"/>
      <c r="R267" s="361"/>
      <c r="S267" s="361"/>
      <c r="T267" s="361"/>
      <c r="U267" s="361"/>
      <c r="V267" s="361"/>
      <c r="W267" s="361"/>
      <c r="X267" s="361"/>
      <c r="Y267" s="361"/>
      <c r="Z267" s="361"/>
      <c r="AA267" s="361"/>
      <c r="AB267" s="361"/>
      <c r="AC267" s="361"/>
      <c r="AD267" s="361"/>
      <c r="AE267" s="361"/>
      <c r="AF267" s="361"/>
      <c r="AG267" s="361"/>
      <c r="AH267" s="361"/>
      <c r="AI267" s="361"/>
      <c r="AJ267" s="361"/>
      <c r="AK267" s="361"/>
      <c r="AL267" s="361"/>
      <c r="AM267" s="361">
        <v>0.01</v>
      </c>
      <c r="AN267" s="361"/>
      <c r="AO267" s="361"/>
      <c r="AP267" s="361"/>
      <c r="AQ267" s="361"/>
      <c r="AR267" s="361"/>
      <c r="AS267" s="361"/>
      <c r="AT267" s="361"/>
      <c r="AU267" s="361"/>
      <c r="AV267" s="338" t="s">
        <v>217</v>
      </c>
      <c r="AW267" s="338" t="s">
        <v>217</v>
      </c>
      <c r="AX267" s="350" t="s">
        <v>1361</v>
      </c>
      <c r="AY267" s="356" t="s">
        <v>1361</v>
      </c>
      <c r="AZ267" s="352" t="s">
        <v>1362</v>
      </c>
      <c r="BA267" s="350"/>
      <c r="BB267" s="350"/>
      <c r="BC267" s="195" t="s">
        <v>270</v>
      </c>
      <c r="BD267" s="195"/>
      <c r="BE267" s="195"/>
      <c r="BF267" s="195" t="s">
        <v>263</v>
      </c>
      <c r="BG267" s="195"/>
      <c r="BH267" s="350"/>
    </row>
    <row r="268" spans="1:60" ht="47.25" customHeight="1">
      <c r="A268" s="344">
        <f>SUBTOTAL(3,C$11:$C268)</f>
        <v>183</v>
      </c>
      <c r="B268" s="337" t="s">
        <v>662</v>
      </c>
      <c r="C268" s="338" t="s">
        <v>100</v>
      </c>
      <c r="D268" s="361">
        <v>7.0000000000000007E-2</v>
      </c>
      <c r="E268" s="366"/>
      <c r="F268" s="361">
        <v>7.0000000000000007E-2</v>
      </c>
      <c r="G268" s="414">
        <f t="shared" si="35"/>
        <v>7.0000000000000007E-2</v>
      </c>
      <c r="H268" s="413" t="s">
        <v>40</v>
      </c>
      <c r="I268" s="413" t="s">
        <v>40</v>
      </c>
      <c r="J268" s="413"/>
      <c r="K268" s="413" t="str">
        <f t="shared" si="36"/>
        <v xml:space="preserve">SON, </v>
      </c>
      <c r="L268" s="413" t="str">
        <f t="shared" si="37"/>
        <v>SON:0,07;</v>
      </c>
      <c r="M268" s="361"/>
      <c r="N268" s="361"/>
      <c r="O268" s="361"/>
      <c r="P268" s="361"/>
      <c r="Q268" s="361"/>
      <c r="R268" s="361"/>
      <c r="S268" s="361"/>
      <c r="T268" s="361"/>
      <c r="U268" s="361"/>
      <c r="V268" s="361"/>
      <c r="W268" s="361"/>
      <c r="X268" s="361"/>
      <c r="Y268" s="361"/>
      <c r="Z268" s="361"/>
      <c r="AA268" s="361"/>
      <c r="AB268" s="361"/>
      <c r="AC268" s="361"/>
      <c r="AD268" s="361"/>
      <c r="AE268" s="361"/>
      <c r="AF268" s="361"/>
      <c r="AG268" s="361"/>
      <c r="AH268" s="361"/>
      <c r="AI268" s="361"/>
      <c r="AJ268" s="361"/>
      <c r="AK268" s="361"/>
      <c r="AL268" s="361"/>
      <c r="AM268" s="361"/>
      <c r="AN268" s="361"/>
      <c r="AO268" s="361"/>
      <c r="AP268" s="361"/>
      <c r="AQ268" s="361">
        <v>7.0000000000000007E-2</v>
      </c>
      <c r="AR268" s="361"/>
      <c r="AS268" s="361"/>
      <c r="AT268" s="361"/>
      <c r="AU268" s="361"/>
      <c r="AV268" s="338" t="s">
        <v>313</v>
      </c>
      <c r="AW268" s="338" t="s">
        <v>313</v>
      </c>
      <c r="AX268" s="350" t="s">
        <v>1363</v>
      </c>
      <c r="AY268" s="356" t="s">
        <v>1363</v>
      </c>
      <c r="AZ268" s="352" t="s">
        <v>1364</v>
      </c>
      <c r="BA268" s="350"/>
      <c r="BB268" s="350"/>
      <c r="BC268" s="195" t="s">
        <v>270</v>
      </c>
      <c r="BD268" s="195"/>
      <c r="BE268" s="195"/>
      <c r="BF268" s="195" t="s">
        <v>263</v>
      </c>
      <c r="BG268" s="195"/>
      <c r="BH268" s="350"/>
    </row>
    <row r="269" spans="1:60" ht="47.25" customHeight="1">
      <c r="A269" s="344">
        <f>SUBTOTAL(3,C$11:$C269)</f>
        <v>184</v>
      </c>
      <c r="B269" s="337" t="s">
        <v>663</v>
      </c>
      <c r="C269" s="338" t="s">
        <v>100</v>
      </c>
      <c r="D269" s="361">
        <v>5.7099999999999998E-2</v>
      </c>
      <c r="E269" s="366"/>
      <c r="F269" s="361">
        <v>5.7099999999999998E-2</v>
      </c>
      <c r="G269" s="414">
        <f t="shared" si="35"/>
        <v>5.7000000000000002E-2</v>
      </c>
      <c r="H269" s="413" t="s">
        <v>40</v>
      </c>
      <c r="I269" s="413" t="s">
        <v>40</v>
      </c>
      <c r="J269" s="413"/>
      <c r="K269" s="413" t="str">
        <f t="shared" si="36"/>
        <v xml:space="preserve">SON, </v>
      </c>
      <c r="L269" s="413" t="str">
        <f t="shared" si="37"/>
        <v>SON:0,057;</v>
      </c>
      <c r="M269" s="361"/>
      <c r="N269" s="361"/>
      <c r="O269" s="361"/>
      <c r="P269" s="361"/>
      <c r="Q269" s="361"/>
      <c r="R269" s="361"/>
      <c r="S269" s="361"/>
      <c r="T269" s="361"/>
      <c r="U269" s="361"/>
      <c r="V269" s="361"/>
      <c r="W269" s="361"/>
      <c r="X269" s="361"/>
      <c r="Y269" s="361"/>
      <c r="Z269" s="361"/>
      <c r="AA269" s="361"/>
      <c r="AB269" s="361"/>
      <c r="AC269" s="361"/>
      <c r="AD269" s="361"/>
      <c r="AE269" s="361"/>
      <c r="AF269" s="361"/>
      <c r="AG269" s="361"/>
      <c r="AH269" s="361"/>
      <c r="AI269" s="361"/>
      <c r="AJ269" s="361"/>
      <c r="AK269" s="361"/>
      <c r="AL269" s="361"/>
      <c r="AM269" s="361"/>
      <c r="AN269" s="361"/>
      <c r="AO269" s="361"/>
      <c r="AP269" s="361"/>
      <c r="AQ269" s="361">
        <v>5.7000000000000002E-2</v>
      </c>
      <c r="AR269" s="361"/>
      <c r="AS269" s="361"/>
      <c r="AT269" s="361"/>
      <c r="AU269" s="361"/>
      <c r="AV269" s="338" t="s">
        <v>313</v>
      </c>
      <c r="AW269" s="338" t="s">
        <v>313</v>
      </c>
      <c r="AX269" s="350" t="s">
        <v>664</v>
      </c>
      <c r="AY269" s="356" t="s">
        <v>664</v>
      </c>
      <c r="AZ269" s="352" t="s">
        <v>1365</v>
      </c>
      <c r="BA269" s="350"/>
      <c r="BB269" s="350"/>
      <c r="BC269" s="195" t="s">
        <v>270</v>
      </c>
      <c r="BD269" s="195"/>
      <c r="BE269" s="195"/>
      <c r="BF269" s="195" t="s">
        <v>263</v>
      </c>
      <c r="BG269" s="195"/>
      <c r="BH269" s="350"/>
    </row>
    <row r="270" spans="1:60" ht="47.25" customHeight="1">
      <c r="A270" s="344">
        <f>SUBTOTAL(3,C$11:$C270)</f>
        <v>185</v>
      </c>
      <c r="B270" s="337" t="s">
        <v>665</v>
      </c>
      <c r="C270" s="338" t="s">
        <v>100</v>
      </c>
      <c r="D270" s="361">
        <v>0.03</v>
      </c>
      <c r="E270" s="366"/>
      <c r="F270" s="361">
        <v>0.03</v>
      </c>
      <c r="G270" s="414">
        <f t="shared" si="35"/>
        <v>0.03</v>
      </c>
      <c r="H270" s="413" t="s">
        <v>40</v>
      </c>
      <c r="I270" s="413" t="s">
        <v>40</v>
      </c>
      <c r="J270" s="413"/>
      <c r="K270" s="413" t="str">
        <f t="shared" si="36"/>
        <v xml:space="preserve">SON, </v>
      </c>
      <c r="L270" s="413" t="str">
        <f t="shared" si="37"/>
        <v>SON:0,03;</v>
      </c>
      <c r="M270" s="361"/>
      <c r="N270" s="361"/>
      <c r="O270" s="361"/>
      <c r="P270" s="361"/>
      <c r="Q270" s="361"/>
      <c r="R270" s="361"/>
      <c r="S270" s="361"/>
      <c r="T270" s="361"/>
      <c r="U270" s="361"/>
      <c r="V270" s="361"/>
      <c r="W270" s="361"/>
      <c r="X270" s="361"/>
      <c r="Y270" s="361"/>
      <c r="Z270" s="361"/>
      <c r="AA270" s="361"/>
      <c r="AB270" s="361"/>
      <c r="AC270" s="361"/>
      <c r="AD270" s="361"/>
      <c r="AE270" s="361"/>
      <c r="AF270" s="361"/>
      <c r="AG270" s="361"/>
      <c r="AH270" s="361"/>
      <c r="AI270" s="361"/>
      <c r="AJ270" s="361"/>
      <c r="AK270" s="361"/>
      <c r="AL270" s="361"/>
      <c r="AM270" s="361"/>
      <c r="AN270" s="361"/>
      <c r="AO270" s="361"/>
      <c r="AP270" s="361"/>
      <c r="AQ270" s="361">
        <v>0.03</v>
      </c>
      <c r="AR270" s="361"/>
      <c r="AS270" s="361"/>
      <c r="AT270" s="361"/>
      <c r="AU270" s="361"/>
      <c r="AV270" s="338" t="s">
        <v>313</v>
      </c>
      <c r="AW270" s="338" t="s">
        <v>313</v>
      </c>
      <c r="AX270" s="350" t="s">
        <v>1366</v>
      </c>
      <c r="AY270" s="356" t="s">
        <v>1366</v>
      </c>
      <c r="AZ270" s="352" t="s">
        <v>1367</v>
      </c>
      <c r="BA270" s="350"/>
      <c r="BB270" s="350"/>
      <c r="BC270" s="195" t="s">
        <v>270</v>
      </c>
      <c r="BD270" s="195"/>
      <c r="BE270" s="195"/>
      <c r="BF270" s="195" t="s">
        <v>263</v>
      </c>
      <c r="BG270" s="195"/>
      <c r="BH270" s="350"/>
    </row>
    <row r="271" spans="1:60" ht="35.15" customHeight="1">
      <c r="A271" s="344">
        <f>SUBTOTAL(3,C$11:$C271)</f>
        <v>186</v>
      </c>
      <c r="B271" s="201" t="s">
        <v>668</v>
      </c>
      <c r="C271" s="338" t="s">
        <v>100</v>
      </c>
      <c r="D271" s="350">
        <v>1.4999999999999999E-2</v>
      </c>
      <c r="E271" s="350"/>
      <c r="F271" s="350">
        <v>1.4999999999999999E-2</v>
      </c>
      <c r="G271" s="497">
        <f t="shared" si="35"/>
        <v>1.4999999999999999E-2</v>
      </c>
      <c r="H271" s="413" t="s">
        <v>38</v>
      </c>
      <c r="I271" s="413" t="s">
        <v>38</v>
      </c>
      <c r="J271" s="413"/>
      <c r="K271" s="413" t="str">
        <f t="shared" si="36"/>
        <v xml:space="preserve">TIN, </v>
      </c>
      <c r="L271" s="413" t="str">
        <f t="shared" si="37"/>
        <v>TIN:0,015;</v>
      </c>
      <c r="M271" s="350"/>
      <c r="N271" s="350"/>
      <c r="O271" s="350"/>
      <c r="P271" s="350"/>
      <c r="Q271" s="350"/>
      <c r="R271" s="350"/>
      <c r="S271" s="350"/>
      <c r="T271" s="350"/>
      <c r="U271" s="350"/>
      <c r="V271" s="350"/>
      <c r="W271" s="350"/>
      <c r="X271" s="350"/>
      <c r="Y271" s="350"/>
      <c r="Z271" s="350"/>
      <c r="AA271" s="350"/>
      <c r="AB271" s="350"/>
      <c r="AC271" s="350"/>
      <c r="AD271" s="350"/>
      <c r="AE271" s="350"/>
      <c r="AF271" s="350"/>
      <c r="AG271" s="350"/>
      <c r="AH271" s="350"/>
      <c r="AI271" s="350"/>
      <c r="AJ271" s="350"/>
      <c r="AK271" s="350"/>
      <c r="AL271" s="350"/>
      <c r="AM271" s="350"/>
      <c r="AN271" s="350"/>
      <c r="AO271" s="350"/>
      <c r="AP271" s="350">
        <v>1.4999999999999999E-2</v>
      </c>
      <c r="AQ271" s="350"/>
      <c r="AR271" s="350"/>
      <c r="AS271" s="350"/>
      <c r="AT271" s="350"/>
      <c r="AU271" s="350"/>
      <c r="AV271" s="350" t="s">
        <v>300</v>
      </c>
      <c r="AW271" s="350" t="s">
        <v>300</v>
      </c>
      <c r="AX271" s="350" t="s">
        <v>669</v>
      </c>
      <c r="AY271" s="356" t="s">
        <v>669</v>
      </c>
      <c r="AZ271" s="352" t="s">
        <v>1371</v>
      </c>
      <c r="BA271" s="350"/>
      <c r="BB271" s="350"/>
      <c r="BC271" s="195" t="s">
        <v>270</v>
      </c>
      <c r="BD271" s="195"/>
      <c r="BE271" s="195"/>
      <c r="BF271" s="195" t="s">
        <v>263</v>
      </c>
      <c r="BG271" s="195"/>
      <c r="BH271" s="350"/>
    </row>
    <row r="272" spans="1:60" ht="35.15" customHeight="1">
      <c r="A272" s="344">
        <f>SUBTOTAL(3,C$11:$C272)</f>
        <v>187</v>
      </c>
      <c r="B272" s="201" t="s">
        <v>670</v>
      </c>
      <c r="C272" s="338" t="s">
        <v>100</v>
      </c>
      <c r="D272" s="350">
        <v>7.0000000000000007E-2</v>
      </c>
      <c r="E272" s="350"/>
      <c r="F272" s="350">
        <v>7.0000000000000007E-2</v>
      </c>
      <c r="G272" s="414">
        <f t="shared" si="35"/>
        <v>7.0000000000000007E-2</v>
      </c>
      <c r="H272" s="413" t="s">
        <v>47</v>
      </c>
      <c r="I272" s="413" t="s">
        <v>47</v>
      </c>
      <c r="J272" s="413"/>
      <c r="K272" s="413" t="str">
        <f t="shared" si="36"/>
        <v xml:space="preserve">DYT, </v>
      </c>
      <c r="L272" s="413" t="str">
        <f t="shared" si="37"/>
        <v>DYT:0,07;</v>
      </c>
      <c r="M272" s="350"/>
      <c r="N272" s="350"/>
      <c r="O272" s="350"/>
      <c r="P272" s="350"/>
      <c r="Q272" s="350"/>
      <c r="R272" s="350"/>
      <c r="S272" s="350"/>
      <c r="T272" s="350"/>
      <c r="U272" s="350"/>
      <c r="V272" s="350"/>
      <c r="W272" s="350"/>
      <c r="X272" s="350"/>
      <c r="Y272" s="350"/>
      <c r="Z272" s="350">
        <v>7.0000000000000007E-2</v>
      </c>
      <c r="AA272" s="350"/>
      <c r="AB272" s="350"/>
      <c r="AC272" s="350"/>
      <c r="AD272" s="350"/>
      <c r="AE272" s="350"/>
      <c r="AF272" s="350"/>
      <c r="AG272" s="350"/>
      <c r="AH272" s="350"/>
      <c r="AI272" s="350"/>
      <c r="AJ272" s="350"/>
      <c r="AK272" s="350"/>
      <c r="AL272" s="350"/>
      <c r="AM272" s="350"/>
      <c r="AN272" s="350"/>
      <c r="AO272" s="350"/>
      <c r="AP272" s="350"/>
      <c r="AQ272" s="350"/>
      <c r="AR272" s="350"/>
      <c r="AS272" s="350"/>
      <c r="AT272" s="350"/>
      <c r="AU272" s="350"/>
      <c r="AV272" s="350" t="s">
        <v>266</v>
      </c>
      <c r="AW272" s="350" t="s">
        <v>266</v>
      </c>
      <c r="AX272" s="350" t="s">
        <v>1372</v>
      </c>
      <c r="AY272" s="356" t="s">
        <v>1372</v>
      </c>
      <c r="AZ272" s="352" t="s">
        <v>1373</v>
      </c>
      <c r="BA272" s="350"/>
      <c r="BB272" s="350"/>
      <c r="BC272" s="195" t="s">
        <v>270</v>
      </c>
      <c r="BD272" s="195"/>
      <c r="BE272" s="195"/>
      <c r="BF272" s="195" t="s">
        <v>263</v>
      </c>
      <c r="BG272" s="195"/>
      <c r="BH272" s="350"/>
    </row>
    <row r="273" spans="1:62" ht="35.15" customHeight="1">
      <c r="A273" s="344">
        <f>SUBTOTAL(3,C$11:$C273)</f>
        <v>188</v>
      </c>
      <c r="B273" s="201" t="s">
        <v>676</v>
      </c>
      <c r="C273" s="338" t="s">
        <v>100</v>
      </c>
      <c r="D273" s="350">
        <v>0.04</v>
      </c>
      <c r="E273" s="350"/>
      <c r="F273" s="350">
        <v>0.04</v>
      </c>
      <c r="G273" s="414">
        <f t="shared" si="35"/>
        <v>0.04</v>
      </c>
      <c r="H273" s="413" t="s">
        <v>48</v>
      </c>
      <c r="I273" s="413" t="s">
        <v>48</v>
      </c>
      <c r="J273" s="413"/>
      <c r="K273" s="413" t="str">
        <f t="shared" si="36"/>
        <v xml:space="preserve">DGD, </v>
      </c>
      <c r="L273" s="413" t="str">
        <f t="shared" si="37"/>
        <v>DGD:0,04;</v>
      </c>
      <c r="M273" s="350"/>
      <c r="N273" s="350"/>
      <c r="O273" s="350"/>
      <c r="P273" s="350"/>
      <c r="Q273" s="350"/>
      <c r="R273" s="350"/>
      <c r="S273" s="350"/>
      <c r="T273" s="350"/>
      <c r="U273" s="350"/>
      <c r="V273" s="350"/>
      <c r="W273" s="350"/>
      <c r="X273" s="350"/>
      <c r="Y273" s="350"/>
      <c r="Z273" s="350"/>
      <c r="AA273" s="350">
        <v>0.04</v>
      </c>
      <c r="AB273" s="350"/>
      <c r="AC273" s="350"/>
      <c r="AD273" s="350"/>
      <c r="AE273" s="350"/>
      <c r="AF273" s="350"/>
      <c r="AG273" s="350"/>
      <c r="AH273" s="350"/>
      <c r="AI273" s="350"/>
      <c r="AJ273" s="350"/>
      <c r="AK273" s="350"/>
      <c r="AL273" s="350"/>
      <c r="AM273" s="350"/>
      <c r="AN273" s="350"/>
      <c r="AO273" s="350"/>
      <c r="AP273" s="350"/>
      <c r="AQ273" s="350"/>
      <c r="AR273" s="350"/>
      <c r="AS273" s="350"/>
      <c r="AT273" s="350"/>
      <c r="AU273" s="350"/>
      <c r="AV273" s="338" t="s">
        <v>280</v>
      </c>
      <c r="AW273" s="338" t="s">
        <v>280</v>
      </c>
      <c r="AX273" s="350" t="s">
        <v>677</v>
      </c>
      <c r="AY273" s="356" t="s">
        <v>677</v>
      </c>
      <c r="AZ273" s="352" t="s">
        <v>1379</v>
      </c>
      <c r="BA273" s="350"/>
      <c r="BB273" s="350"/>
      <c r="BC273" s="195" t="s">
        <v>270</v>
      </c>
      <c r="BD273" s="195"/>
      <c r="BE273" s="195"/>
      <c r="BF273" s="195" t="s">
        <v>263</v>
      </c>
      <c r="BG273" s="195"/>
      <c r="BH273" s="350"/>
    </row>
    <row r="274" spans="1:62" ht="46.5" customHeight="1">
      <c r="A274" s="344">
        <f>SUBTOTAL(3,C$11:$C274)</f>
        <v>189</v>
      </c>
      <c r="B274" s="337" t="s">
        <v>678</v>
      </c>
      <c r="C274" s="338" t="s">
        <v>100</v>
      </c>
      <c r="D274" s="339">
        <v>0.06</v>
      </c>
      <c r="E274" s="339"/>
      <c r="F274" s="339">
        <v>0.06</v>
      </c>
      <c r="G274" s="414">
        <f t="shared" si="35"/>
        <v>0.06</v>
      </c>
      <c r="H274" s="413" t="s">
        <v>48</v>
      </c>
      <c r="I274" s="413" t="s">
        <v>48</v>
      </c>
      <c r="J274" s="413"/>
      <c r="K274" s="413" t="str">
        <f t="shared" si="36"/>
        <v xml:space="preserve">DGD, </v>
      </c>
      <c r="L274" s="413" t="str">
        <f t="shared" si="37"/>
        <v>DGD:0,06;</v>
      </c>
      <c r="M274" s="339"/>
      <c r="N274" s="339"/>
      <c r="O274" s="339"/>
      <c r="P274" s="339"/>
      <c r="Q274" s="339"/>
      <c r="R274" s="339"/>
      <c r="S274" s="339"/>
      <c r="T274" s="339"/>
      <c r="U274" s="339"/>
      <c r="V274" s="339"/>
      <c r="W274" s="339"/>
      <c r="X274" s="339"/>
      <c r="Y274" s="339"/>
      <c r="Z274" s="339"/>
      <c r="AA274" s="339">
        <v>0.06</v>
      </c>
      <c r="AB274" s="339"/>
      <c r="AC274" s="339"/>
      <c r="AD274" s="339"/>
      <c r="AE274" s="339"/>
      <c r="AF274" s="339"/>
      <c r="AG274" s="339"/>
      <c r="AH274" s="339"/>
      <c r="AI274" s="339"/>
      <c r="AJ274" s="339"/>
      <c r="AK274" s="339"/>
      <c r="AL274" s="339"/>
      <c r="AM274" s="339"/>
      <c r="AN274" s="339"/>
      <c r="AO274" s="339"/>
      <c r="AP274" s="339"/>
      <c r="AQ274" s="339"/>
      <c r="AR274" s="339"/>
      <c r="AS274" s="339"/>
      <c r="AT274" s="339"/>
      <c r="AU274" s="339"/>
      <c r="AV274" s="338" t="s">
        <v>313</v>
      </c>
      <c r="AW274" s="338" t="s">
        <v>313</v>
      </c>
      <c r="AX274" s="432" t="s">
        <v>679</v>
      </c>
      <c r="AY274" s="433" t="s">
        <v>679</v>
      </c>
      <c r="AZ274" s="434" t="s">
        <v>1380</v>
      </c>
      <c r="BA274" s="432"/>
      <c r="BB274" s="432"/>
      <c r="BC274" s="478" t="s">
        <v>267</v>
      </c>
      <c r="BD274" s="478"/>
      <c r="BE274" s="478"/>
      <c r="BF274" s="478" t="s">
        <v>263</v>
      </c>
      <c r="BG274" s="478"/>
      <c r="BH274" s="432"/>
    </row>
    <row r="275" spans="1:62" ht="35.15" customHeight="1">
      <c r="A275" s="344">
        <f>SUBTOTAL(3,C$11:$C275)</f>
        <v>190</v>
      </c>
      <c r="B275" s="201" t="s">
        <v>692</v>
      </c>
      <c r="C275" s="338" t="s">
        <v>100</v>
      </c>
      <c r="D275" s="350">
        <v>0.04</v>
      </c>
      <c r="E275" s="350">
        <v>0.01</v>
      </c>
      <c r="F275" s="350">
        <v>0.03</v>
      </c>
      <c r="G275" s="414">
        <f t="shared" si="35"/>
        <v>0.03</v>
      </c>
      <c r="H275" s="413" t="s">
        <v>56</v>
      </c>
      <c r="I275" s="413" t="s">
        <v>56</v>
      </c>
      <c r="J275" s="413"/>
      <c r="K275" s="413" t="str">
        <f t="shared" si="36"/>
        <v xml:space="preserve">ONT, </v>
      </c>
      <c r="L275" s="413" t="str">
        <f t="shared" si="37"/>
        <v>ONT:0,03;</v>
      </c>
      <c r="M275" s="350"/>
      <c r="N275" s="350"/>
      <c r="O275" s="350"/>
      <c r="P275" s="350"/>
      <c r="Q275" s="350"/>
      <c r="R275" s="350"/>
      <c r="S275" s="350"/>
      <c r="T275" s="350"/>
      <c r="U275" s="350"/>
      <c r="V275" s="350"/>
      <c r="W275" s="350"/>
      <c r="X275" s="350"/>
      <c r="Y275" s="350"/>
      <c r="Z275" s="350"/>
      <c r="AA275" s="350"/>
      <c r="AB275" s="350"/>
      <c r="AC275" s="350"/>
      <c r="AD275" s="350"/>
      <c r="AE275" s="350"/>
      <c r="AF275" s="350"/>
      <c r="AG275" s="350"/>
      <c r="AH275" s="350"/>
      <c r="AI275" s="350"/>
      <c r="AJ275" s="350"/>
      <c r="AK275" s="350"/>
      <c r="AL275" s="350">
        <v>0.03</v>
      </c>
      <c r="AM275" s="350"/>
      <c r="AN275" s="350"/>
      <c r="AO275" s="350"/>
      <c r="AP275" s="350"/>
      <c r="AQ275" s="350"/>
      <c r="AR275" s="350"/>
      <c r="AS275" s="350"/>
      <c r="AT275" s="350"/>
      <c r="AU275" s="350"/>
      <c r="AV275" s="350" t="s">
        <v>300</v>
      </c>
      <c r="AW275" s="350" t="s">
        <v>300</v>
      </c>
      <c r="AX275" s="432" t="s">
        <v>693</v>
      </c>
      <c r="AY275" s="433" t="s">
        <v>693</v>
      </c>
      <c r="AZ275" s="434" t="s">
        <v>1387</v>
      </c>
      <c r="BA275" s="432"/>
      <c r="BB275" s="432"/>
      <c r="BC275" s="478" t="s">
        <v>316</v>
      </c>
      <c r="BD275" s="478"/>
      <c r="BE275" s="478"/>
      <c r="BF275" s="478" t="s">
        <v>263</v>
      </c>
      <c r="BG275" s="478"/>
      <c r="BH275" s="432"/>
    </row>
    <row r="276" spans="1:62" s="179" customFormat="1" ht="24.65" customHeight="1">
      <c r="A276" s="145"/>
      <c r="B276" s="163" t="s">
        <v>1758</v>
      </c>
      <c r="C276" s="164"/>
      <c r="D276" s="368"/>
      <c r="E276" s="368"/>
      <c r="F276" s="368"/>
      <c r="G276" s="410"/>
      <c r="H276" s="411"/>
      <c r="I276" s="411"/>
      <c r="J276" s="411"/>
      <c r="K276" s="411"/>
      <c r="L276" s="411"/>
      <c r="M276" s="368"/>
      <c r="N276" s="368"/>
      <c r="O276" s="368"/>
      <c r="P276" s="368"/>
      <c r="Q276" s="368"/>
      <c r="R276" s="368"/>
      <c r="S276" s="368"/>
      <c r="T276" s="368"/>
      <c r="U276" s="368"/>
      <c r="V276" s="368"/>
      <c r="W276" s="368"/>
      <c r="X276" s="368"/>
      <c r="Y276" s="368"/>
      <c r="Z276" s="368"/>
      <c r="AA276" s="368"/>
      <c r="AB276" s="368"/>
      <c r="AC276" s="368"/>
      <c r="AD276" s="368"/>
      <c r="AE276" s="368"/>
      <c r="AF276" s="368"/>
      <c r="AG276" s="368"/>
      <c r="AH276" s="368"/>
      <c r="AI276" s="368"/>
      <c r="AJ276" s="368"/>
      <c r="AK276" s="368"/>
      <c r="AL276" s="368"/>
      <c r="AM276" s="368"/>
      <c r="AN276" s="368"/>
      <c r="AO276" s="368"/>
      <c r="AP276" s="368"/>
      <c r="AQ276" s="368"/>
      <c r="AR276" s="368"/>
      <c r="AS276" s="368"/>
      <c r="AT276" s="368"/>
      <c r="AU276" s="368"/>
      <c r="AV276" s="368"/>
      <c r="AW276" s="368"/>
      <c r="AX276" s="368"/>
      <c r="AY276" s="257"/>
      <c r="AZ276" s="178"/>
      <c r="BA276" s="368"/>
      <c r="BB276" s="368"/>
      <c r="BC276" s="165"/>
      <c r="BD276" s="165"/>
      <c r="BE276" s="165"/>
      <c r="BF276" s="165"/>
      <c r="BG276" s="165"/>
      <c r="BH276" s="368"/>
      <c r="BI276" s="412"/>
      <c r="BJ276" s="412"/>
    </row>
    <row r="277" spans="1:62" ht="35.15" customHeight="1">
      <c r="A277" s="344">
        <f>SUBTOTAL(3,C$11:$C277)</f>
        <v>191</v>
      </c>
      <c r="B277" s="337" t="s">
        <v>717</v>
      </c>
      <c r="C277" s="338" t="s">
        <v>100</v>
      </c>
      <c r="D277" s="192">
        <v>0.2</v>
      </c>
      <c r="E277" s="361"/>
      <c r="F277" s="361">
        <v>0.2</v>
      </c>
      <c r="G277" s="414">
        <f>SUM(M277:AR277)</f>
        <v>0.2</v>
      </c>
      <c r="H277" s="413" t="s">
        <v>5</v>
      </c>
      <c r="I277" s="413" t="s">
        <v>8</v>
      </c>
      <c r="J277" s="413"/>
      <c r="K277" s="413" t="str">
        <f>IF(M277&lt;&gt;0,$M$5&amp;", ","")&amp;IF(N277&lt;&gt;0,$N$5&amp;", ","")&amp;IF(O277&lt;&gt;0,O$5&amp;", ","")&amp;IF(P277&lt;&gt;0,P$5&amp;", ","")&amp;IF(Q277&lt;&gt;0,Q$5&amp;", ","")&amp;IF(R277&lt;&gt;0,R$5&amp;", ","")&amp;IF(S277&lt;&gt;0,S$5&amp;", ","")&amp;IF(T277&lt;&gt;0,T$5&amp;", ","")&amp;IF(U277&lt;&gt;0,U$5&amp;", ","")&amp;IF(V277&lt;&gt;0,V$5&amp;", ","")&amp;IF(W277&lt;&gt;0,W$5&amp;", ","")&amp;IF(X277&lt;&gt;0,X$5&amp;", ","")&amp;IF(Y277&lt;&gt;0,Y$5&amp;", ","")&amp;IF(Z277&lt;&gt;0,Z$5&amp;", ","")&amp;IF(AA277&lt;&gt;0,AA$5&amp;", ","")&amp;IF(AB277&lt;&gt;0,AB$5&amp;", ","")&amp;IF(AC277&lt;&gt;0,AC$5&amp;", ","")&amp;IF(AD277&lt;&gt;0,AD$5&amp;", ","")&amp;IF(AE277&lt;&gt;0,AE$5&amp;", ","")&amp;IF(AF277&lt;&gt;0,AF$5&amp;", ","")&amp;IF(AG277&lt;&gt;0,AG$5&amp;", ","")&amp;IF(AH277&lt;&gt;0,AH$5&amp;", ","")&amp;IF(AI277&lt;&gt;0,AI$5&amp;", ","")&amp;IF(AJ277&lt;&gt;0,AJ$5&amp;", ","")&amp;IF(AK277&lt;&gt;0,AK$5&amp;", ","")&amp;IF(AL277&lt;&gt;0,AL$5&amp;", ","")&amp;IF(AM277&lt;&gt;0,AM$5&amp;", ","")&amp;IF(AN277&lt;&gt;0,AN$5&amp;", ","")&amp;IF(AO277&lt;&gt;0,AO$5&amp;", ","")&amp;IF(AP277&lt;&gt;0,AP$5&amp;", ","")&amp;IF(AQ277&lt;&gt;0,AQ$5&amp;", ","")&amp;IF(AR277&lt;&gt;0,AR$5,"")&amp;IF(AS277&lt;&gt;0,AS$5,"")&amp;IF(AT277&lt;&gt;0,AT$5,"")&amp;IF(AU277&lt;&gt;0,AU$5,"")</f>
        <v xml:space="preserve">LUK, </v>
      </c>
      <c r="L277" s="413" t="str">
        <f>IF(M277="","",$M$5&amp;":"&amp;M277&amp;";")&amp;IF(N277="","",$N$5&amp;":"&amp;N277&amp;";")&amp;IF(O277="","",$O$5&amp;":"&amp;O277&amp;";")&amp;IF(P277="","",$P$5&amp;":"&amp;P277&amp;";")&amp;IF(Q277="","",$Q$5&amp;":"&amp;Q277&amp;";")&amp;IF(R277="","",$R$5&amp;":"&amp;R277&amp;";")&amp;IF(S277="","",$S$5&amp;":"&amp;S277&amp;";")&amp;IF(T277="","",$T$5&amp;":"&amp;T277&amp;";")&amp;IF(U277="","",$U$5&amp;":"&amp;U277&amp;";")&amp;IF(V277="","",$V$5&amp;":"&amp;V277&amp;";")&amp;IF(W277="","",$W$5&amp;":"&amp;W277&amp;";")&amp;IF(X277="","",$X$5&amp;":"&amp;X277&amp;";")&amp;IF(Y277="","",$Y$5&amp;":"&amp;Y277&amp;";")&amp;IF(Z277="","",$Z$5&amp;":"&amp;Z277&amp;";")&amp;IF(AA277="","",$AA$5&amp;":"&amp;AA277&amp;";")&amp;IF(AB277="","",$AB$5&amp;":"&amp;AB277&amp;";")&amp;IF(AC277="","",$AC$5&amp;":"&amp;AC277&amp;";")&amp;IF(AD277="","",$AD$5&amp;":"&amp;AD277&amp;";")&amp;IF(AE277="","",$AE$5&amp;":"&amp;AE277&amp;";")&amp;IF(AF277="","",$AF$5&amp;":"&amp;AF277&amp;";")&amp;IF(AG277="","",$AG$5&amp;":"&amp;AG277&amp;";")&amp;IF(AH277="","",$AH$5&amp;":"&amp;AH277&amp;";")&amp;IF(AI277="","",$AI$5&amp;":"&amp;AI277&amp;";")&amp;IF(AJ277="","",$AJ$5&amp;":"&amp;AJ277&amp;";")&amp;IF(AK277="","",$AK$5&amp;":"&amp;AK277&amp;";")&amp;IF(AL277="","",$AL$5&amp;":"&amp;AL277&amp;";")&amp;IF(AM277="","",$AM$5&amp;":"&amp;AM277&amp;";")&amp;IF(AN277="","",$AN$5&amp;":"&amp;AN277&amp;";")&amp;IF(AO277="","",$AO$5&amp;":"&amp;AO277&amp;";")&amp;IF(AP277="","",$AP$5&amp;":"&amp;AP277&amp;";")&amp;IF(AQ277="","",$AQ$5&amp;":"&amp;AQ277&amp;";")&amp;IF(AR277="","",$AR$5&amp;":"&amp;AR277&amp;";")&amp;IF(AS277="","",$AS$5&amp;":"&amp;AS277&amp;";")&amp;IF(AT277="","",$AT$5&amp;":"&amp;AT277&amp;";")&amp;IF(AU277="","",$AU$5&amp;":"&amp;AU277&amp;";")</f>
        <v>LUK:0,2;</v>
      </c>
      <c r="M277" s="361"/>
      <c r="N277" s="361">
        <v>0.2</v>
      </c>
      <c r="O277" s="361"/>
      <c r="P277" s="361"/>
      <c r="Q277" s="361"/>
      <c r="R277" s="361"/>
      <c r="S277" s="361"/>
      <c r="T277" s="361"/>
      <c r="U277" s="361"/>
      <c r="V277" s="361"/>
      <c r="W277" s="361"/>
      <c r="X277" s="361"/>
      <c r="Y277" s="361"/>
      <c r="Z277" s="361"/>
      <c r="AA277" s="361"/>
      <c r="AB277" s="361"/>
      <c r="AC277" s="361"/>
      <c r="AD277" s="361"/>
      <c r="AE277" s="361"/>
      <c r="AF277" s="361"/>
      <c r="AG277" s="361"/>
      <c r="AH277" s="361"/>
      <c r="AI277" s="361"/>
      <c r="AJ277" s="361"/>
      <c r="AK277" s="361"/>
      <c r="AL277" s="361"/>
      <c r="AM277" s="361"/>
      <c r="AN277" s="361"/>
      <c r="AO277" s="361"/>
      <c r="AP277" s="361"/>
      <c r="AQ277" s="361"/>
      <c r="AR277" s="361"/>
      <c r="AS277" s="361"/>
      <c r="AT277" s="361"/>
      <c r="AU277" s="361"/>
      <c r="AV277" s="338" t="s">
        <v>292</v>
      </c>
      <c r="AW277" s="338" t="s">
        <v>292</v>
      </c>
      <c r="AX277" s="350"/>
      <c r="AY277" s="356"/>
      <c r="AZ277" s="352" t="s">
        <v>1400</v>
      </c>
      <c r="BA277" s="350" t="s">
        <v>357</v>
      </c>
      <c r="BB277" s="350"/>
      <c r="BC277" s="195"/>
      <c r="BD277" s="195"/>
      <c r="BE277" s="195"/>
      <c r="BF277" s="195"/>
      <c r="BG277" s="195"/>
      <c r="BH277" s="350"/>
    </row>
    <row r="278" spans="1:62" s="477" customFormat="1" ht="25" customHeight="1">
      <c r="A278" s="498" t="s">
        <v>1730</v>
      </c>
      <c r="B278" s="499" t="s">
        <v>95</v>
      </c>
      <c r="C278" s="498"/>
      <c r="D278" s="472"/>
      <c r="E278" s="472"/>
      <c r="F278" s="472"/>
      <c r="G278" s="470"/>
      <c r="H278" s="471"/>
      <c r="I278" s="471"/>
      <c r="J278" s="471"/>
      <c r="K278" s="471" t="str">
        <f>IF(M278&lt;&gt;0,$M$5&amp;", ","")&amp;IF(N278&lt;&gt;0,$N$5&amp;", ","")&amp;IF(O278&lt;&gt;0,O$5&amp;", ","")&amp;IF(P278&lt;&gt;0,P$5&amp;", ","")&amp;IF(Q278&lt;&gt;0,Q$5&amp;", ","")&amp;IF(R278&lt;&gt;0,R$5&amp;", ","")&amp;IF(S278&lt;&gt;0,S$5&amp;", ","")&amp;IF(T278&lt;&gt;0,T$5&amp;", ","")&amp;IF(U278&lt;&gt;0,U$5&amp;", ","")&amp;IF(V278&lt;&gt;0,V$5&amp;", ","")&amp;IF(W278&lt;&gt;0,W$5&amp;", ","")&amp;IF(X278&lt;&gt;0,X$5&amp;", ","")&amp;IF(Y278&lt;&gt;0,Y$5&amp;", ","")&amp;IF(Z278&lt;&gt;0,Z$5&amp;", ","")&amp;IF(AA278&lt;&gt;0,AA$5&amp;", ","")&amp;IF(AB278&lt;&gt;0,AB$5&amp;", ","")&amp;IF(AC278&lt;&gt;0,AC$5&amp;", ","")&amp;IF(AD278&lt;&gt;0,AD$5&amp;", ","")&amp;IF(AE278&lt;&gt;0,AE$5&amp;", ","")&amp;IF(AF278&lt;&gt;0,AF$5&amp;", ","")&amp;IF(AG278&lt;&gt;0,AG$5&amp;", ","")&amp;IF(AH278&lt;&gt;0,AH$5&amp;", ","")&amp;IF(AI278&lt;&gt;0,AI$5&amp;", ","")&amp;IF(AJ278&lt;&gt;0,AJ$5&amp;", ","")&amp;IF(AK278&lt;&gt;0,AK$5&amp;", ","")&amp;IF(AL278&lt;&gt;0,AL$5&amp;", ","")&amp;IF(AM278&lt;&gt;0,AM$5&amp;", ","")&amp;IF(AN278&lt;&gt;0,AN$5&amp;", ","")&amp;IF(AO278&lt;&gt;0,AO$5&amp;", ","")&amp;IF(AP278&lt;&gt;0,AP$5&amp;", ","")&amp;IF(AQ278&lt;&gt;0,AQ$5&amp;", ","")&amp;IF(AR278&lt;&gt;0,AR$5,"")&amp;IF(AS278&lt;&gt;0,AS$5,"")&amp;IF(AT278&lt;&gt;0,AT$5,"")&amp;IF(AU278&lt;&gt;0,AU$5,"")</f>
        <v/>
      </c>
      <c r="L278" s="471" t="str">
        <f>IF(M278="","",$M$5&amp;":"&amp;M278&amp;";")&amp;IF(N278="","",$N$5&amp;":"&amp;N278&amp;";")&amp;IF(O278="","",$O$5&amp;":"&amp;O278&amp;";")&amp;IF(P278="","",$P$5&amp;":"&amp;P278&amp;";")&amp;IF(Q278="","",$Q$5&amp;":"&amp;Q278&amp;";")&amp;IF(R278="","",$R$5&amp;":"&amp;R278&amp;";")&amp;IF(S278="","",$S$5&amp;":"&amp;S278&amp;";")&amp;IF(T278="","",$T$5&amp;":"&amp;T278&amp;";")&amp;IF(U278="","",$U$5&amp;":"&amp;U278&amp;";")&amp;IF(V278="","",$V$5&amp;":"&amp;V278&amp;";")&amp;IF(W278="","",$W$5&amp;":"&amp;W278&amp;";")&amp;IF(X278="","",$X$5&amp;":"&amp;X278&amp;";")&amp;IF(Y278="","",$Y$5&amp;":"&amp;Y278&amp;";")&amp;IF(Z278="","",$Z$5&amp;":"&amp;Z278&amp;";")&amp;IF(AA278="","",$AA$5&amp;":"&amp;AA278&amp;";")&amp;IF(AB278="","",$AB$5&amp;":"&amp;AB278&amp;";")&amp;IF(AC278="","",$AC$5&amp;":"&amp;AC278&amp;";")&amp;IF(AD278="","",$AD$5&amp;":"&amp;AD278&amp;";")&amp;IF(AE278="","",$AE$5&amp;":"&amp;AE278&amp;";")&amp;IF(AF278="","",$AF$5&amp;":"&amp;AF278&amp;";")&amp;IF(AG278="","",$AG$5&amp;":"&amp;AG278&amp;";")&amp;IF(AH278="","",$AH$5&amp;":"&amp;AH278&amp;";")&amp;IF(AI278="","",$AI$5&amp;":"&amp;AI278&amp;";")&amp;IF(AJ278="","",$AJ$5&amp;":"&amp;AJ278&amp;";")&amp;IF(AK278="","",$AK$5&amp;":"&amp;AK278&amp;";")&amp;IF(AL278="","",$AL$5&amp;":"&amp;AL278&amp;";")&amp;IF(AM278="","",$AM$5&amp;":"&amp;AM278&amp;";")&amp;IF(AN278="","",$AN$5&amp;":"&amp;AN278&amp;";")&amp;IF(AO278="","",$AO$5&amp;":"&amp;AO278&amp;";")&amp;IF(AP278="","",$AP$5&amp;":"&amp;AP278&amp;";")&amp;IF(AQ278="","",$AQ$5&amp;":"&amp;AQ278&amp;";")&amp;IF(AR278="","",$AR$5&amp;":"&amp;AR278&amp;";")&amp;IF(AS278="","",$AS$5&amp;":"&amp;AS278&amp;";")&amp;IF(AT278="","",$AT$5&amp;":"&amp;AT278&amp;";")&amp;IF(AU278="","",$AU$5&amp;":"&amp;AU278&amp;";")</f>
        <v/>
      </c>
      <c r="M278" s="472"/>
      <c r="N278" s="472"/>
      <c r="O278" s="472"/>
      <c r="P278" s="472"/>
      <c r="Q278" s="472"/>
      <c r="R278" s="472"/>
      <c r="S278" s="472"/>
      <c r="T278" s="472"/>
      <c r="U278" s="472"/>
      <c r="V278" s="472"/>
      <c r="W278" s="472"/>
      <c r="X278" s="472"/>
      <c r="Y278" s="472"/>
      <c r="Z278" s="472"/>
      <c r="AA278" s="472"/>
      <c r="AB278" s="472"/>
      <c r="AC278" s="472"/>
      <c r="AD278" s="472"/>
      <c r="AE278" s="472"/>
      <c r="AF278" s="472"/>
      <c r="AG278" s="472"/>
      <c r="AH278" s="472"/>
      <c r="AI278" s="472"/>
      <c r="AJ278" s="472"/>
      <c r="AK278" s="472"/>
      <c r="AL278" s="472"/>
      <c r="AM278" s="472"/>
      <c r="AN278" s="472"/>
      <c r="AO278" s="472"/>
      <c r="AP278" s="472"/>
      <c r="AQ278" s="472"/>
      <c r="AR278" s="472"/>
      <c r="AS278" s="472"/>
      <c r="AT278" s="472"/>
      <c r="AU278" s="472"/>
      <c r="AV278" s="472"/>
      <c r="AW278" s="472"/>
      <c r="AX278" s="472"/>
      <c r="AY278" s="473"/>
      <c r="AZ278" s="474"/>
      <c r="BA278" s="472"/>
      <c r="BB278" s="472"/>
      <c r="BC278" s="475"/>
      <c r="BD278" s="475"/>
      <c r="BE278" s="475"/>
      <c r="BF278" s="475"/>
      <c r="BG278" s="475"/>
      <c r="BH278" s="472"/>
      <c r="BI278" s="476"/>
      <c r="BJ278" s="476"/>
    </row>
    <row r="279" spans="1:62" s="179" customFormat="1" ht="24.65" customHeight="1">
      <c r="A279" s="145"/>
      <c r="B279" s="163" t="s">
        <v>1760</v>
      </c>
      <c r="C279" s="164"/>
      <c r="D279" s="368"/>
      <c r="E279" s="368"/>
      <c r="F279" s="368"/>
      <c r="G279" s="410"/>
      <c r="H279" s="411"/>
      <c r="I279" s="411"/>
      <c r="J279" s="411"/>
      <c r="K279" s="411"/>
      <c r="L279" s="411"/>
      <c r="M279" s="368"/>
      <c r="N279" s="368"/>
      <c r="O279" s="368"/>
      <c r="P279" s="368"/>
      <c r="Q279" s="368"/>
      <c r="R279" s="368"/>
      <c r="S279" s="368"/>
      <c r="T279" s="368"/>
      <c r="U279" s="368"/>
      <c r="V279" s="368"/>
      <c r="W279" s="368"/>
      <c r="X279" s="368"/>
      <c r="Y279" s="368"/>
      <c r="Z279" s="368"/>
      <c r="AA279" s="368"/>
      <c r="AB279" s="368"/>
      <c r="AC279" s="368"/>
      <c r="AD279" s="368"/>
      <c r="AE279" s="368"/>
      <c r="AF279" s="368"/>
      <c r="AG279" s="368"/>
      <c r="AH279" s="368"/>
      <c r="AI279" s="368"/>
      <c r="AJ279" s="368"/>
      <c r="AK279" s="368"/>
      <c r="AL279" s="368"/>
      <c r="AM279" s="368"/>
      <c r="AN279" s="368"/>
      <c r="AO279" s="368"/>
      <c r="AP279" s="368"/>
      <c r="AQ279" s="368"/>
      <c r="AR279" s="368"/>
      <c r="AS279" s="368"/>
      <c r="AT279" s="368"/>
      <c r="AU279" s="368"/>
      <c r="AV279" s="368"/>
      <c r="AW279" s="368"/>
      <c r="AX279" s="368"/>
      <c r="AY279" s="257"/>
      <c r="AZ279" s="178"/>
      <c r="BA279" s="368"/>
      <c r="BB279" s="368"/>
      <c r="BC279" s="165"/>
      <c r="BD279" s="165"/>
      <c r="BE279" s="165"/>
      <c r="BF279" s="165"/>
      <c r="BG279" s="165"/>
      <c r="BH279" s="368"/>
      <c r="BI279" s="412"/>
      <c r="BJ279" s="412"/>
    </row>
    <row r="280" spans="1:62" ht="38">
      <c r="A280" s="348">
        <f>SUBTOTAL(3,C$11:$C280)</f>
        <v>192</v>
      </c>
      <c r="B280" s="166" t="s">
        <v>720</v>
      </c>
      <c r="C280" s="338" t="s">
        <v>56</v>
      </c>
      <c r="D280" s="347">
        <v>21.5</v>
      </c>
      <c r="E280" s="357"/>
      <c r="F280" s="347">
        <v>21.5</v>
      </c>
      <c r="G280" s="414">
        <f>SUM(M280:AR280)</f>
        <v>21.499999999999996</v>
      </c>
      <c r="H280" s="413" t="s">
        <v>1402</v>
      </c>
      <c r="I280" s="413" t="s">
        <v>1293</v>
      </c>
      <c r="J280" s="413" t="s">
        <v>1403</v>
      </c>
      <c r="K280" s="413" t="str">
        <f>IF(M280&lt;&gt;0,$M$5&amp;", ","")&amp;IF(N280&lt;&gt;0,$N$5&amp;", ","")&amp;IF(O280&lt;&gt;0,O$5&amp;", ","")&amp;IF(P280&lt;&gt;0,P$5&amp;", ","")&amp;IF(Q280&lt;&gt;0,Q$5&amp;", ","")&amp;IF(R280&lt;&gt;0,R$5&amp;", ","")&amp;IF(S280&lt;&gt;0,S$5&amp;", ","")&amp;IF(T280&lt;&gt;0,T$5&amp;", ","")&amp;IF(U280&lt;&gt;0,U$5&amp;", ","")&amp;IF(V280&lt;&gt;0,V$5&amp;", ","")&amp;IF(W280&lt;&gt;0,W$5&amp;", ","")&amp;IF(X280&lt;&gt;0,X$5&amp;", ","")&amp;IF(Y280&lt;&gt;0,Y$5&amp;", ","")&amp;IF(Z280&lt;&gt;0,Z$5&amp;", ","")&amp;IF(AA280&lt;&gt;0,AA$5&amp;", ","")&amp;IF(AB280&lt;&gt;0,AB$5&amp;", ","")&amp;IF(AC280&lt;&gt;0,AC$5&amp;", ","")&amp;IF(AD280&lt;&gt;0,AD$5&amp;", ","")&amp;IF(AE280&lt;&gt;0,AE$5&amp;", ","")&amp;IF(AF280&lt;&gt;0,AF$5&amp;", ","")&amp;IF(AG280&lt;&gt;0,AG$5&amp;", ","")&amp;IF(AH280&lt;&gt;0,AH$5&amp;", ","")&amp;IF(AI280&lt;&gt;0,AI$5&amp;", ","")&amp;IF(AJ280&lt;&gt;0,AJ$5&amp;", ","")&amp;IF(AK280&lt;&gt;0,AK$5&amp;", ","")&amp;IF(AL280&lt;&gt;0,AL$5&amp;", ","")&amp;IF(AM280&lt;&gt;0,AM$5&amp;", ","")&amp;IF(AN280&lt;&gt;0,AN$5&amp;", ","")&amp;IF(AO280&lt;&gt;0,AO$5&amp;", ","")&amp;IF(AP280&lt;&gt;0,AP$5&amp;", ","")&amp;IF(AQ280&lt;&gt;0,AQ$5&amp;", ","")&amp;IF(AR280&lt;&gt;0,AR$5,"")&amp;IF(AS280&lt;&gt;0,AS$5,"")&amp;IF(AT280&lt;&gt;0,AT$5,"")&amp;IF(AU280&lt;&gt;0,AU$5,"")</f>
        <v xml:space="preserve">LUC, HNK, DGT, ONT, SON, </v>
      </c>
      <c r="L280" s="413" t="str">
        <f>IF(M280="","",$M$5&amp;":"&amp;M280&amp;";")&amp;IF(N280="","",$N$5&amp;":"&amp;N280&amp;";")&amp;IF(O280="","",$O$5&amp;":"&amp;O280&amp;";")&amp;IF(P280="","",$P$5&amp;":"&amp;P280&amp;";")&amp;IF(Q280="","",$Q$5&amp;":"&amp;Q280&amp;";")&amp;IF(R280="","",$R$5&amp;":"&amp;R280&amp;";")&amp;IF(S280="","",$S$5&amp;":"&amp;S280&amp;";")&amp;IF(T280="","",$T$5&amp;":"&amp;T280&amp;";")&amp;IF(U280="","",$U$5&amp;":"&amp;U280&amp;";")&amp;IF(V280="","",$V$5&amp;":"&amp;V280&amp;";")&amp;IF(W280="","",$W$5&amp;":"&amp;W280&amp;";")&amp;IF(X280="","",$X$5&amp;":"&amp;X280&amp;";")&amp;IF(Y280="","",$Y$5&amp;":"&amp;Y280&amp;";")&amp;IF(Z280="","",$Z$5&amp;":"&amp;Z280&amp;";")&amp;IF(AA280="","",$AA$5&amp;":"&amp;AA280&amp;";")&amp;IF(AB280="","",$AB$5&amp;":"&amp;AB280&amp;";")&amp;IF(AC280="","",$AC$5&amp;":"&amp;AC280&amp;";")&amp;IF(AD280="","",$AD$5&amp;":"&amp;AD280&amp;";")&amp;IF(AE280="","",$AE$5&amp;":"&amp;AE280&amp;";")&amp;IF(AF280="","",$AF$5&amp;":"&amp;AF280&amp;";")&amp;IF(AG280="","",$AG$5&amp;":"&amp;AG280&amp;";")&amp;IF(AH280="","",$AH$5&amp;":"&amp;AH280&amp;";")&amp;IF(AI280="","",$AI$5&amp;":"&amp;AI280&amp;";")&amp;IF(AJ280="","",$AJ$5&amp;":"&amp;AJ280&amp;";")&amp;IF(AK280="","",$AK$5&amp;":"&amp;AK280&amp;";")&amp;IF(AL280="","",$AL$5&amp;":"&amp;AL280&amp;";")&amp;IF(AM280="","",$AM$5&amp;":"&amp;AM280&amp;";")&amp;IF(AN280="","",$AN$5&amp;":"&amp;AN280&amp;";")&amp;IF(AO280="","",$AO$5&amp;":"&amp;AO280&amp;";")&amp;IF(AP280="","",$AP$5&amp;":"&amp;AP280&amp;";")&amp;IF(AQ280="","",$AQ$5&amp;":"&amp;AQ280&amp;";")&amp;IF(AR280="","",$AR$5&amp;":"&amp;AR280&amp;";")&amp;IF(AS280="","",$AS$5&amp;":"&amp;AS280&amp;";")&amp;IF(AT280="","",$AT$5&amp;":"&amp;AT280&amp;";")&amp;IF(AU280="","",$AU$5&amp;":"&amp;AU280&amp;";")</f>
        <v>LUC:12,95;HNK:3,3;DGT:0,33;ONT:2,97;SON:1,95;</v>
      </c>
      <c r="M280" s="347">
        <v>12.95</v>
      </c>
      <c r="N280" s="347"/>
      <c r="O280" s="347">
        <v>3.3</v>
      </c>
      <c r="P280" s="347"/>
      <c r="Q280" s="347"/>
      <c r="R280" s="347"/>
      <c r="S280" s="347"/>
      <c r="T280" s="347"/>
      <c r="U280" s="347"/>
      <c r="V280" s="347"/>
      <c r="W280" s="347">
        <v>0.33</v>
      </c>
      <c r="X280" s="347"/>
      <c r="Y280" s="347"/>
      <c r="Z280" s="347"/>
      <c r="AA280" s="347"/>
      <c r="AB280" s="347"/>
      <c r="AC280" s="347"/>
      <c r="AD280" s="347"/>
      <c r="AE280" s="347"/>
      <c r="AF280" s="347"/>
      <c r="AG280" s="347"/>
      <c r="AH280" s="347"/>
      <c r="AI280" s="347"/>
      <c r="AJ280" s="347"/>
      <c r="AK280" s="347"/>
      <c r="AL280" s="347">
        <v>2.97</v>
      </c>
      <c r="AM280" s="347"/>
      <c r="AN280" s="347"/>
      <c r="AO280" s="347"/>
      <c r="AP280" s="347"/>
      <c r="AQ280" s="347">
        <v>1.95</v>
      </c>
      <c r="AR280" s="347"/>
      <c r="AS280" s="347"/>
      <c r="AT280" s="347"/>
      <c r="AU280" s="347"/>
      <c r="AV280" s="193" t="s">
        <v>306</v>
      </c>
      <c r="AW280" s="193" t="s">
        <v>306</v>
      </c>
      <c r="AX280" s="186" t="s">
        <v>1404</v>
      </c>
      <c r="AY280" s="264" t="s">
        <v>1404</v>
      </c>
      <c r="AZ280" s="352" t="s">
        <v>1405</v>
      </c>
      <c r="BA280" s="207"/>
      <c r="BB280" s="207"/>
      <c r="BC280" s="195" t="s">
        <v>270</v>
      </c>
      <c r="BD280" s="195"/>
      <c r="BE280" s="195"/>
      <c r="BF280" s="195" t="s">
        <v>263</v>
      </c>
      <c r="BG280" s="195"/>
      <c r="BH280" s="207"/>
    </row>
    <row r="281" spans="1:62" ht="39" customHeight="1">
      <c r="A281" s="344">
        <f>SUBTOTAL(3,C$11:$C281)</f>
        <v>193</v>
      </c>
      <c r="B281" s="166" t="s">
        <v>721</v>
      </c>
      <c r="C281" s="338" t="s">
        <v>56</v>
      </c>
      <c r="D281" s="339">
        <v>4</v>
      </c>
      <c r="E281" s="339"/>
      <c r="F281" s="339">
        <v>4</v>
      </c>
      <c r="G281" s="414">
        <f>SUM(M281:AR281)</f>
        <v>4.0000860000000005</v>
      </c>
      <c r="H281" s="413" t="s">
        <v>1402</v>
      </c>
      <c r="I281" s="413" t="s">
        <v>1406</v>
      </c>
      <c r="J281" s="413" t="s">
        <v>1407</v>
      </c>
      <c r="K281" s="413" t="str">
        <f>IF(M281&lt;&gt;0,$M$5&amp;", ","")&amp;IF(N281&lt;&gt;0,$N$5&amp;", ","")&amp;IF(O281&lt;&gt;0,O$5&amp;", ","")&amp;IF(P281&lt;&gt;0,P$5&amp;", ","")&amp;IF(Q281&lt;&gt;0,Q$5&amp;", ","")&amp;IF(R281&lt;&gt;0,R$5&amp;", ","")&amp;IF(S281&lt;&gt;0,S$5&amp;", ","")&amp;IF(T281&lt;&gt;0,T$5&amp;", ","")&amp;IF(U281&lt;&gt;0,U$5&amp;", ","")&amp;IF(V281&lt;&gt;0,V$5&amp;", ","")&amp;IF(W281&lt;&gt;0,W$5&amp;", ","")&amp;IF(X281&lt;&gt;0,X$5&amp;", ","")&amp;IF(Y281&lt;&gt;0,Y$5&amp;", ","")&amp;IF(Z281&lt;&gt;0,Z$5&amp;", ","")&amp;IF(AA281&lt;&gt;0,AA$5&amp;", ","")&amp;IF(AB281&lt;&gt;0,AB$5&amp;", ","")&amp;IF(AC281&lt;&gt;0,AC$5&amp;", ","")&amp;IF(AD281&lt;&gt;0,AD$5&amp;", ","")&amp;IF(AE281&lt;&gt;0,AE$5&amp;", ","")&amp;IF(AF281&lt;&gt;0,AF$5&amp;", ","")&amp;IF(AG281&lt;&gt;0,AG$5&amp;", ","")&amp;IF(AH281&lt;&gt;0,AH$5&amp;", ","")&amp;IF(AI281&lt;&gt;0,AI$5&amp;", ","")&amp;IF(AJ281&lt;&gt;0,AJ$5&amp;", ","")&amp;IF(AK281&lt;&gt;0,AK$5&amp;", ","")&amp;IF(AL281&lt;&gt;0,AL$5&amp;", ","")&amp;IF(AM281&lt;&gt;0,AM$5&amp;", ","")&amp;IF(AN281&lt;&gt;0,AN$5&amp;", ","")&amp;IF(AO281&lt;&gt;0,AO$5&amp;", ","")&amp;IF(AP281&lt;&gt;0,AP$5&amp;", ","")&amp;IF(AQ281&lt;&gt;0,AQ$5&amp;", ","")&amp;IF(AR281&lt;&gt;0,AR$5,"")&amp;IF(AS281&lt;&gt;0,AS$5,"")&amp;IF(AT281&lt;&gt;0,AT$5,"")&amp;IF(AU281&lt;&gt;0,AU$5,"")</f>
        <v xml:space="preserve">LUC, HNK, NTD, ONT, SON, </v>
      </c>
      <c r="L281" s="413" t="str">
        <f>IF(M281="","",$M$5&amp;":"&amp;M281&amp;";")&amp;IF(N281="","",$N$5&amp;":"&amp;N281&amp;";")&amp;IF(O281="","",$O$5&amp;":"&amp;O281&amp;";")&amp;IF(P281="","",$P$5&amp;":"&amp;P281&amp;";")&amp;IF(Q281="","",$Q$5&amp;":"&amp;Q281&amp;";")&amp;IF(R281="","",$R$5&amp;":"&amp;R281&amp;";")&amp;IF(S281="","",$S$5&amp;":"&amp;S281&amp;";")&amp;IF(T281="","",$T$5&amp;":"&amp;T281&amp;";")&amp;IF(U281="","",$U$5&amp;":"&amp;U281&amp;";")&amp;IF(V281="","",$V$5&amp;":"&amp;V281&amp;";")&amp;IF(W281="","",$W$5&amp;":"&amp;W281&amp;";")&amp;IF(X281="","",$X$5&amp;":"&amp;X281&amp;";")&amp;IF(Y281="","",$Y$5&amp;":"&amp;Y281&amp;";")&amp;IF(Z281="","",$Z$5&amp;":"&amp;Z281&amp;";")&amp;IF(AA281="","",$AA$5&amp;":"&amp;AA281&amp;";")&amp;IF(AB281="","",$AB$5&amp;":"&amp;AB281&amp;";")&amp;IF(AC281="","",$AC$5&amp;":"&amp;AC281&amp;";")&amp;IF(AD281="","",$AD$5&amp;":"&amp;AD281&amp;";")&amp;IF(AE281="","",$AE$5&amp;":"&amp;AE281&amp;";")&amp;IF(AF281="","",$AF$5&amp;":"&amp;AF281&amp;";")&amp;IF(AG281="","",$AG$5&amp;":"&amp;AG281&amp;";")&amp;IF(AH281="","",$AH$5&amp;":"&amp;AH281&amp;";")&amp;IF(AI281="","",$AI$5&amp;":"&amp;AI281&amp;";")&amp;IF(AJ281="","",$AJ$5&amp;":"&amp;AJ281&amp;";")&amp;IF(AK281="","",$AK$5&amp;":"&amp;AK281&amp;";")&amp;IF(AL281="","",$AL$5&amp;":"&amp;AL281&amp;";")&amp;IF(AM281="","",$AM$5&amp;":"&amp;AM281&amp;";")&amp;IF(AN281="","",$AN$5&amp;":"&amp;AN281&amp;";")&amp;IF(AO281="","",$AO$5&amp;":"&amp;AO281&amp;";")&amp;IF(AP281="","",$AP$5&amp;":"&amp;AP281&amp;";")&amp;IF(AQ281="","",$AQ$5&amp;":"&amp;AQ281&amp;";")&amp;IF(AR281="","",$AR$5&amp;":"&amp;AR281&amp;";")&amp;IF(AS281="","",$AS$5&amp;":"&amp;AS281&amp;";")&amp;IF(AT281="","",$AT$5&amp;":"&amp;AT281&amp;";")&amp;IF(AU281="","",$AU$5&amp;":"&amp;AU281&amp;";")</f>
        <v>LUC:3,037866;HNK:0,268047;NTD:0,034365;ONT:0,432999;SON:0,226809;</v>
      </c>
      <c r="M281" s="361">
        <f>4.42*68.73%</f>
        <v>3.0378660000000002</v>
      </c>
      <c r="N281" s="361"/>
      <c r="O281" s="361">
        <f>0.39*68.73%</f>
        <v>0.26804700000000004</v>
      </c>
      <c r="P281" s="361"/>
      <c r="Q281" s="361"/>
      <c r="R281" s="361"/>
      <c r="S281" s="361"/>
      <c r="T281" s="361"/>
      <c r="U281" s="361"/>
      <c r="V281" s="361"/>
      <c r="W281" s="361"/>
      <c r="X281" s="361"/>
      <c r="Y281" s="361"/>
      <c r="Z281" s="361"/>
      <c r="AA281" s="361"/>
      <c r="AB281" s="361"/>
      <c r="AC281" s="361"/>
      <c r="AD281" s="361"/>
      <c r="AE281" s="361"/>
      <c r="AF281" s="361"/>
      <c r="AG281" s="361"/>
      <c r="AH281" s="361">
        <f>0.05*68.73%</f>
        <v>3.4365E-2</v>
      </c>
      <c r="AI281" s="361"/>
      <c r="AJ281" s="361"/>
      <c r="AK281" s="361"/>
      <c r="AL281" s="361">
        <f>0.63*68.73%</f>
        <v>0.43299900000000002</v>
      </c>
      <c r="AM281" s="361"/>
      <c r="AN281" s="361"/>
      <c r="AO281" s="361"/>
      <c r="AP281" s="361"/>
      <c r="AQ281" s="361">
        <f>0.33*68.73%</f>
        <v>0.22680900000000001</v>
      </c>
      <c r="AR281" s="173"/>
      <c r="AS281" s="173"/>
      <c r="AT281" s="173"/>
      <c r="AU281" s="173"/>
      <c r="AV281" s="193" t="s">
        <v>306</v>
      </c>
      <c r="AW281" s="193" t="s">
        <v>306</v>
      </c>
      <c r="AX281" s="186" t="s">
        <v>332</v>
      </c>
      <c r="AY281" s="264" t="s">
        <v>332</v>
      </c>
      <c r="AZ281" s="352" t="s">
        <v>1408</v>
      </c>
      <c r="BA281" s="186"/>
      <c r="BB281" s="186"/>
      <c r="BC281" s="195" t="s">
        <v>270</v>
      </c>
      <c r="BD281" s="195"/>
      <c r="BE281" s="195"/>
      <c r="BF281" s="195" t="s">
        <v>263</v>
      </c>
      <c r="BG281" s="195"/>
      <c r="BH281" s="186"/>
    </row>
    <row r="282" spans="1:62" ht="39" customHeight="1">
      <c r="A282" s="595">
        <f>SUBTOTAL(3,C$11:$C282)</f>
        <v>194</v>
      </c>
      <c r="B282" s="613" t="s">
        <v>722</v>
      </c>
      <c r="C282" s="614" t="s">
        <v>56</v>
      </c>
      <c r="D282" s="612">
        <v>56.5</v>
      </c>
      <c r="E282" s="612"/>
      <c r="F282" s="612">
        <v>56.5</v>
      </c>
      <c r="G282" s="612">
        <v>56.5</v>
      </c>
      <c r="H282" s="413" t="s">
        <v>1016</v>
      </c>
      <c r="I282" s="413"/>
      <c r="J282" s="413"/>
      <c r="K282" s="413"/>
      <c r="L282" s="413"/>
      <c r="M282" s="361"/>
      <c r="N282" s="361"/>
      <c r="O282" s="361"/>
      <c r="P282" s="361"/>
      <c r="Q282" s="361"/>
      <c r="R282" s="361"/>
      <c r="S282" s="361"/>
      <c r="T282" s="361"/>
      <c r="U282" s="361"/>
      <c r="V282" s="361"/>
      <c r="W282" s="361"/>
      <c r="X282" s="361"/>
      <c r="Y282" s="361"/>
      <c r="Z282" s="361"/>
      <c r="AA282" s="361"/>
      <c r="AB282" s="361"/>
      <c r="AC282" s="361"/>
      <c r="AD282" s="361"/>
      <c r="AE282" s="361"/>
      <c r="AF282" s="361"/>
      <c r="AG282" s="361"/>
      <c r="AH282" s="361"/>
      <c r="AI282" s="361"/>
      <c r="AJ282" s="361"/>
      <c r="AK282" s="361"/>
      <c r="AL282" s="361"/>
      <c r="AM282" s="361"/>
      <c r="AN282" s="361"/>
      <c r="AO282" s="361"/>
      <c r="AP282" s="361"/>
      <c r="AQ282" s="361"/>
      <c r="AR282" s="173"/>
      <c r="AS282" s="173"/>
      <c r="AT282" s="173"/>
      <c r="AU282" s="173"/>
      <c r="AV282" s="193" t="s">
        <v>1409</v>
      </c>
      <c r="AW282" s="193"/>
      <c r="AX282" s="186" t="s">
        <v>1410</v>
      </c>
      <c r="AY282" s="264"/>
      <c r="AZ282" s="352"/>
      <c r="BA282" s="186"/>
      <c r="BB282" s="186"/>
      <c r="BC282" s="195"/>
      <c r="BD282" s="195"/>
      <c r="BE282" s="195"/>
      <c r="BF282" s="195"/>
      <c r="BG282" s="195"/>
      <c r="BH282" s="237"/>
    </row>
    <row r="283" spans="1:62" ht="35.15" customHeight="1">
      <c r="A283" s="595"/>
      <c r="B283" s="613"/>
      <c r="C283" s="614"/>
      <c r="D283" s="612"/>
      <c r="E283" s="612"/>
      <c r="F283" s="612"/>
      <c r="G283" s="612"/>
      <c r="H283" s="413" t="s">
        <v>1016</v>
      </c>
      <c r="I283" s="413" t="s">
        <v>1411</v>
      </c>
      <c r="J283" s="413"/>
      <c r="K283" s="413" t="str">
        <f>IF(M283&lt;&gt;0,$M$5&amp;", ","")&amp;IF(N283&lt;&gt;0,$N$5&amp;", ","")&amp;IF(O283&lt;&gt;0,O$5&amp;", ","")&amp;IF(P283&lt;&gt;0,P$5&amp;", ","")&amp;IF(Q283&lt;&gt;0,Q$5&amp;", ","")&amp;IF(R283&lt;&gt;0,R$5&amp;", ","")&amp;IF(S283&lt;&gt;0,S$5&amp;", ","")&amp;IF(T283&lt;&gt;0,T$5&amp;", ","")&amp;IF(U283&lt;&gt;0,U$5&amp;", ","")&amp;IF(V283&lt;&gt;0,V$5&amp;", ","")&amp;IF(W283&lt;&gt;0,W$5&amp;", ","")&amp;IF(X283&lt;&gt;0,X$5&amp;", ","")&amp;IF(Y283&lt;&gt;0,Y$5&amp;", ","")&amp;IF(Z283&lt;&gt;0,Z$5&amp;", ","")&amp;IF(AA283&lt;&gt;0,AA$5&amp;", ","")&amp;IF(AB283&lt;&gt;0,AB$5&amp;", ","")&amp;IF(AC283&lt;&gt;0,AC$5&amp;", ","")&amp;IF(AD283&lt;&gt;0,AD$5&amp;", ","")&amp;IF(AE283&lt;&gt;0,AE$5&amp;", ","")&amp;IF(AF283&lt;&gt;0,AF$5&amp;", ","")&amp;IF(AG283&lt;&gt;0,AG$5&amp;", ","")&amp;IF(AH283&lt;&gt;0,AH$5&amp;", ","")&amp;IF(AI283&lt;&gt;0,AI$5&amp;", ","")&amp;IF(AJ283&lt;&gt;0,AJ$5&amp;", ","")&amp;IF(AK283&lt;&gt;0,AK$5&amp;", ","")&amp;IF(AL283&lt;&gt;0,AL$5&amp;", ","")&amp;IF(AM283&lt;&gt;0,AM$5&amp;", ","")&amp;IF(AN283&lt;&gt;0,AN$5&amp;", ","")&amp;IF(AO283&lt;&gt;0,AO$5&amp;", ","")&amp;IF(AP283&lt;&gt;0,AP$5&amp;", ","")&amp;IF(AQ283&lt;&gt;0,AQ$5&amp;", ","")&amp;IF(AR283&lt;&gt;0,AR$5,"")&amp;IF(AS283&lt;&gt;0,AS$5,"")&amp;IF(AT283&lt;&gt;0,AT$5,"")&amp;IF(AU283&lt;&gt;0,AU$5,"")</f>
        <v xml:space="preserve">CLN, NTS, NTD, ONT, SON, </v>
      </c>
      <c r="L283" s="413" t="str">
        <f>IF(M283="","",$M$5&amp;":"&amp;M283&amp;";")&amp;IF(N283="","",$N$5&amp;":"&amp;N283&amp;";")&amp;IF(O283="","",$O$5&amp;":"&amp;O283&amp;";")&amp;IF(P283="","",$P$5&amp;":"&amp;P283&amp;";")&amp;IF(Q283="","",$Q$5&amp;":"&amp;Q283&amp;";")&amp;IF(R283="","",$R$5&amp;":"&amp;R283&amp;";")&amp;IF(S283="","",$S$5&amp;":"&amp;S283&amp;";")&amp;IF(T283="","",$T$5&amp;":"&amp;T283&amp;";")&amp;IF(U283="","",$U$5&amp;":"&amp;U283&amp;";")&amp;IF(V283="","",$V$5&amp;":"&amp;V283&amp;";")&amp;IF(W283="","",$W$5&amp;":"&amp;W283&amp;";")&amp;IF(X283="","",$X$5&amp;":"&amp;X283&amp;";")&amp;IF(Y283="","",$Y$5&amp;":"&amp;Y283&amp;";")&amp;IF(Z283="","",$Z$5&amp;":"&amp;Z283&amp;";")&amp;IF(AA283="","",$AA$5&amp;":"&amp;AA283&amp;";")&amp;IF(AB283="","",$AB$5&amp;":"&amp;AB283&amp;";")&amp;IF(AC283="","",$AC$5&amp;":"&amp;AC283&amp;";")&amp;IF(AD283="","",$AD$5&amp;":"&amp;AD283&amp;";")&amp;IF(AE283="","",$AE$5&amp;":"&amp;AE283&amp;";")&amp;IF(AF283="","",$AF$5&amp;":"&amp;AF283&amp;";")&amp;IF(AG283="","",$AG$5&amp;":"&amp;AG283&amp;";")&amp;IF(AH283="","",$AH$5&amp;":"&amp;AH283&amp;";")&amp;IF(AI283="","",$AI$5&amp;":"&amp;AI283&amp;";")&amp;IF(AJ283="","",$AJ$5&amp;":"&amp;AJ283&amp;";")&amp;IF(AK283="","",$AK$5&amp;":"&amp;AK283&amp;";")&amp;IF(AL283="","",$AL$5&amp;":"&amp;AL283&amp;";")&amp;IF(AM283="","",$AM$5&amp;":"&amp;AM283&amp;";")&amp;IF(AN283="","",$AN$5&amp;":"&amp;AN283&amp;";")&amp;IF(AO283="","",$AO$5&amp;":"&amp;AO283&amp;";")&amp;IF(AP283="","",$AP$5&amp;":"&amp;AP283&amp;";")&amp;IF(AQ283="","",$AQ$5&amp;":"&amp;AQ283&amp;";")&amp;IF(AR283="","",$AR$5&amp;":"&amp;AR283&amp;";")&amp;IF(AS283="","",$AS$5&amp;":"&amp;AS283&amp;";")&amp;IF(AT283="","",$AT$5&amp;":"&amp;AT283&amp;";")&amp;IF(AU283="","",$AU$5&amp;":"&amp;AU283&amp;";")</f>
        <v>CLN:1,647975;NTS:22,534881;NTD:0,395514;ONT:1,22421;SON:2,44842;</v>
      </c>
      <c r="M283" s="339"/>
      <c r="N283" s="339"/>
      <c r="O283" s="339"/>
      <c r="P283" s="339">
        <f>1.75*94.17%</f>
        <v>1.647975</v>
      </c>
      <c r="Q283" s="339">
        <f>23.93*94.17%</f>
        <v>22.534880999999999</v>
      </c>
      <c r="R283" s="339"/>
      <c r="S283" s="339"/>
      <c r="T283" s="339"/>
      <c r="U283" s="339"/>
      <c r="V283" s="339"/>
      <c r="W283" s="339"/>
      <c r="X283" s="339"/>
      <c r="Y283" s="339"/>
      <c r="Z283" s="339"/>
      <c r="AA283" s="339"/>
      <c r="AB283" s="339"/>
      <c r="AC283" s="339"/>
      <c r="AD283" s="339"/>
      <c r="AE283" s="339"/>
      <c r="AF283" s="339"/>
      <c r="AG283" s="339"/>
      <c r="AH283" s="339">
        <f>0.42*94.17%</f>
        <v>0.39551399999999998</v>
      </c>
      <c r="AI283" s="339"/>
      <c r="AJ283" s="339"/>
      <c r="AK283" s="339"/>
      <c r="AL283" s="339">
        <f>1.3*94.17%</f>
        <v>1.22421</v>
      </c>
      <c r="AM283" s="339"/>
      <c r="AN283" s="339"/>
      <c r="AO283" s="339"/>
      <c r="AP283" s="339"/>
      <c r="AQ283" s="339">
        <f>2.6*94.17%</f>
        <v>2.44842</v>
      </c>
      <c r="AR283" s="339"/>
      <c r="AS283" s="339"/>
      <c r="AT283" s="339"/>
      <c r="AU283" s="339"/>
      <c r="AV283" s="338" t="s">
        <v>370</v>
      </c>
      <c r="AW283" s="338" t="s">
        <v>370</v>
      </c>
      <c r="AX283" s="350" t="s">
        <v>1412</v>
      </c>
      <c r="AY283" s="356" t="s">
        <v>1412</v>
      </c>
      <c r="AZ283" s="352" t="s">
        <v>1413</v>
      </c>
      <c r="BA283" s="350" t="s">
        <v>723</v>
      </c>
      <c r="BB283" s="616" t="s">
        <v>724</v>
      </c>
      <c r="BC283" s="195" t="s">
        <v>270</v>
      </c>
      <c r="BD283" s="195"/>
      <c r="BE283" s="195"/>
      <c r="BF283" s="195"/>
      <c r="BG283" s="195" t="s">
        <v>263</v>
      </c>
      <c r="BH283" s="623" t="s">
        <v>725</v>
      </c>
    </row>
    <row r="284" spans="1:62" ht="40" customHeight="1">
      <c r="A284" s="595"/>
      <c r="B284" s="613"/>
      <c r="C284" s="614"/>
      <c r="D284" s="612"/>
      <c r="E284" s="612"/>
      <c r="F284" s="612"/>
      <c r="G284" s="612"/>
      <c r="H284" s="413" t="s">
        <v>1016</v>
      </c>
      <c r="I284" s="413" t="s">
        <v>1414</v>
      </c>
      <c r="J284" s="413"/>
      <c r="K284" s="413" t="str">
        <f>IF(M284&lt;&gt;0,$M$5&amp;", ","")&amp;IF(N284&lt;&gt;0,$N$5&amp;", ","")&amp;IF(O284&lt;&gt;0,O$5&amp;", ","")&amp;IF(P284&lt;&gt;0,P$5&amp;", ","")&amp;IF(Q284&lt;&gt;0,Q$5&amp;", ","")&amp;IF(R284&lt;&gt;0,R$5&amp;", ","")&amp;IF(S284&lt;&gt;0,S$5&amp;", ","")&amp;IF(T284&lt;&gt;0,T$5&amp;", ","")&amp;IF(U284&lt;&gt;0,U$5&amp;", ","")&amp;IF(V284&lt;&gt;0,V$5&amp;", ","")&amp;IF(W284&lt;&gt;0,W$5&amp;", ","")&amp;IF(X284&lt;&gt;0,X$5&amp;", ","")&amp;IF(Y284&lt;&gt;0,Y$5&amp;", ","")&amp;IF(Z284&lt;&gt;0,Z$5&amp;", ","")&amp;IF(AA284&lt;&gt;0,AA$5&amp;", ","")&amp;IF(AB284&lt;&gt;0,AB$5&amp;", ","")&amp;IF(AC284&lt;&gt;0,AC$5&amp;", ","")&amp;IF(AD284&lt;&gt;0,AD$5&amp;", ","")&amp;IF(AE284&lt;&gt;0,AE$5&amp;", ","")&amp;IF(AF284&lt;&gt;0,AF$5&amp;", ","")&amp;IF(AG284&lt;&gt;0,AG$5&amp;", ","")&amp;IF(AH284&lt;&gt;0,AH$5&amp;", ","")&amp;IF(AI284&lt;&gt;0,AI$5&amp;", ","")&amp;IF(AJ284&lt;&gt;0,AJ$5&amp;", ","")&amp;IF(AK284&lt;&gt;0,AK$5&amp;", ","")&amp;IF(AL284&lt;&gt;0,AL$5&amp;", ","")&amp;IF(AM284&lt;&gt;0,AM$5&amp;", ","")&amp;IF(AN284&lt;&gt;0,AN$5&amp;", ","")&amp;IF(AO284&lt;&gt;0,AO$5&amp;", ","")&amp;IF(AP284&lt;&gt;0,AP$5&amp;", ","")&amp;IF(AQ284&lt;&gt;0,AQ$5&amp;", ","")&amp;IF(AR284&lt;&gt;0,AR$5,"")&amp;IF(AS284&lt;&gt;0,AS$5,"")&amp;IF(AT284&lt;&gt;0,AT$5,"")&amp;IF(AU284&lt;&gt;0,AU$5,"")</f>
        <v xml:space="preserve">LUK, HNK, CLN, NTS, NTD, ONT, SON, </v>
      </c>
      <c r="L284" s="413" t="str">
        <f>IF(M284="","",$M$5&amp;":"&amp;M284&amp;";")&amp;IF(N284="","",$N$5&amp;":"&amp;N284&amp;";")&amp;IF(O284="","",$O$5&amp;":"&amp;O284&amp;";")&amp;IF(P284="","",$P$5&amp;":"&amp;P284&amp;";")&amp;IF(Q284="","",$Q$5&amp;":"&amp;Q284&amp;";")&amp;IF(R284="","",$R$5&amp;":"&amp;R284&amp;";")&amp;IF(S284="","",$S$5&amp;":"&amp;S284&amp;";")&amp;IF(T284="","",$T$5&amp;":"&amp;T284&amp;";")&amp;IF(U284="","",$U$5&amp;":"&amp;U284&amp;";")&amp;IF(V284="","",$V$5&amp;":"&amp;V284&amp;";")&amp;IF(W284="","",$W$5&amp;":"&amp;W284&amp;";")&amp;IF(X284="","",$X$5&amp;":"&amp;X284&amp;";")&amp;IF(Y284="","",$Y$5&amp;":"&amp;Y284&amp;";")&amp;IF(Z284="","",$Z$5&amp;":"&amp;Z284&amp;";")&amp;IF(AA284="","",$AA$5&amp;":"&amp;AA284&amp;";")&amp;IF(AB284="","",$AB$5&amp;":"&amp;AB284&amp;";")&amp;IF(AC284="","",$AC$5&amp;":"&amp;AC284&amp;";")&amp;IF(AD284="","",$AD$5&amp;":"&amp;AD284&amp;";")&amp;IF(AE284="","",$AE$5&amp;":"&amp;AE284&amp;";")&amp;IF(AF284="","",$AF$5&amp;":"&amp;AF284&amp;";")&amp;IF(AG284="","",$AG$5&amp;":"&amp;AG284&amp;";")&amp;IF(AH284="","",$AH$5&amp;":"&amp;AH284&amp;";")&amp;IF(AI284="","",$AI$5&amp;":"&amp;AI284&amp;";")&amp;IF(AJ284="","",$AJ$5&amp;":"&amp;AJ284&amp;";")&amp;IF(AK284="","",$AK$5&amp;":"&amp;AK284&amp;";")&amp;IF(AL284="","",$AL$5&amp;":"&amp;AL284&amp;";")&amp;IF(AM284="","",$AM$5&amp;":"&amp;AM284&amp;";")&amp;IF(AN284="","",$AN$5&amp;":"&amp;AN284&amp;";")&amp;IF(AO284="","",$AO$5&amp;":"&amp;AO284&amp;";")&amp;IF(AP284="","",$AP$5&amp;":"&amp;AP284&amp;";")&amp;IF(AQ284="","",$AQ$5&amp;":"&amp;AQ284&amp;";")&amp;IF(AR284="","",$AR$5&amp;":"&amp;AR284&amp;";")&amp;IF(AS284="","",$AS$5&amp;":"&amp;AS284&amp;";")&amp;IF(AT284="","",$AT$5&amp;":"&amp;AT284&amp;";")&amp;IF(AU284="","",$AU$5&amp;":"&amp;AU284&amp;";")</f>
        <v>LUK:0,9417;HNK:5,17935;CLN:6,356475;NTS:5,508945;NTD:0,18834;ONT:4,7085;SON:5,36769;</v>
      </c>
      <c r="M284" s="339"/>
      <c r="N284" s="339">
        <f>1*94.17%</f>
        <v>0.94169999999999998</v>
      </c>
      <c r="O284" s="339">
        <f>5.5*94.17%</f>
        <v>5.1793499999999995</v>
      </c>
      <c r="P284" s="339">
        <f>6.75*94.17%</f>
        <v>6.3564749999999997</v>
      </c>
      <c r="Q284" s="339">
        <f>5.85*94.17%</f>
        <v>5.5089449999999998</v>
      </c>
      <c r="R284" s="339"/>
      <c r="S284" s="339"/>
      <c r="T284" s="339"/>
      <c r="U284" s="339"/>
      <c r="V284" s="339"/>
      <c r="W284" s="339"/>
      <c r="X284" s="339"/>
      <c r="Y284" s="339"/>
      <c r="Z284" s="339"/>
      <c r="AA284" s="339"/>
      <c r="AB284" s="339"/>
      <c r="AC284" s="339"/>
      <c r="AD284" s="339"/>
      <c r="AE284" s="339"/>
      <c r="AF284" s="339"/>
      <c r="AG284" s="339"/>
      <c r="AH284" s="339">
        <f>0.2*94.17%</f>
        <v>0.18834000000000001</v>
      </c>
      <c r="AI284" s="339"/>
      <c r="AJ284" s="339"/>
      <c r="AK284" s="339"/>
      <c r="AL284" s="339">
        <f>5*94.17%</f>
        <v>4.7084999999999999</v>
      </c>
      <c r="AM284" s="339"/>
      <c r="AN284" s="339"/>
      <c r="AO284" s="339"/>
      <c r="AP284" s="339"/>
      <c r="AQ284" s="339">
        <f>5.7*94.17%</f>
        <v>5.3676899999999996</v>
      </c>
      <c r="AR284" s="339"/>
      <c r="AS284" s="339"/>
      <c r="AT284" s="339"/>
      <c r="AU284" s="339"/>
      <c r="AV284" s="338" t="s">
        <v>266</v>
      </c>
      <c r="AW284" s="338" t="s">
        <v>266</v>
      </c>
      <c r="AX284" s="350" t="s">
        <v>1415</v>
      </c>
      <c r="AY284" s="356" t="s">
        <v>1415</v>
      </c>
      <c r="AZ284" s="352" t="s">
        <v>1416</v>
      </c>
      <c r="BA284" s="350"/>
      <c r="BB284" s="616"/>
      <c r="BC284" s="195" t="s">
        <v>270</v>
      </c>
      <c r="BD284" s="195"/>
      <c r="BE284" s="195"/>
      <c r="BF284" s="195" t="s">
        <v>263</v>
      </c>
      <c r="BG284" s="195"/>
      <c r="BH284" s="624"/>
    </row>
    <row r="285" spans="1:62" ht="40" customHeight="1">
      <c r="A285" s="348">
        <f>SUBTOTAL(3,C$11:$C285)</f>
        <v>195</v>
      </c>
      <c r="B285" s="337" t="s">
        <v>726</v>
      </c>
      <c r="C285" s="338" t="s">
        <v>56</v>
      </c>
      <c r="D285" s="361">
        <v>22.42</v>
      </c>
      <c r="E285" s="366"/>
      <c r="F285" s="361">
        <v>22.42</v>
      </c>
      <c r="G285" s="414">
        <f>SUM(M285:AR285)</f>
        <v>22.37</v>
      </c>
      <c r="H285" s="413" t="s">
        <v>1016</v>
      </c>
      <c r="I285" s="413" t="s">
        <v>1023</v>
      </c>
      <c r="J285" s="413"/>
      <c r="K285" s="413" t="str">
        <f>IF(M285&lt;&gt;0,$M$5&amp;", ","")&amp;IF(N285&lt;&gt;0,$N$5&amp;", ","")&amp;IF(O285&lt;&gt;0,O$5&amp;", ","")&amp;IF(P285&lt;&gt;0,P$5&amp;", ","")&amp;IF(Q285&lt;&gt;0,Q$5&amp;", ","")&amp;IF(R285&lt;&gt;0,R$5&amp;", ","")&amp;IF(S285&lt;&gt;0,S$5&amp;", ","")&amp;IF(T285&lt;&gt;0,T$5&amp;", ","")&amp;IF(U285&lt;&gt;0,U$5&amp;", ","")&amp;IF(V285&lt;&gt;0,V$5&amp;", ","")&amp;IF(W285&lt;&gt;0,W$5&amp;", ","")&amp;IF(X285&lt;&gt;0,X$5&amp;", ","")&amp;IF(Y285&lt;&gt;0,Y$5&amp;", ","")&amp;IF(Z285&lt;&gt;0,Z$5&amp;", ","")&amp;IF(AA285&lt;&gt;0,AA$5&amp;", ","")&amp;IF(AB285&lt;&gt;0,AB$5&amp;", ","")&amp;IF(AC285&lt;&gt;0,AC$5&amp;", ","")&amp;IF(AD285&lt;&gt;0,AD$5&amp;", ","")&amp;IF(AE285&lt;&gt;0,AE$5&amp;", ","")&amp;IF(AF285&lt;&gt;0,AF$5&amp;", ","")&amp;IF(AG285&lt;&gt;0,AG$5&amp;", ","")&amp;IF(AH285&lt;&gt;0,AH$5&amp;", ","")&amp;IF(AI285&lt;&gt;0,AI$5&amp;", ","")&amp;IF(AJ285&lt;&gt;0,AJ$5&amp;", ","")&amp;IF(AK285&lt;&gt;0,AK$5&amp;", ","")&amp;IF(AL285&lt;&gt;0,AL$5&amp;", ","")&amp;IF(AM285&lt;&gt;0,AM$5&amp;", ","")&amp;IF(AN285&lt;&gt;0,AN$5&amp;", ","")&amp;IF(AO285&lt;&gt;0,AO$5&amp;", ","")&amp;IF(AP285&lt;&gt;0,AP$5&amp;", ","")&amp;IF(AQ285&lt;&gt;0,AQ$5&amp;", ","")&amp;IF(AR285&lt;&gt;0,AR$5,"")&amp;IF(AS285&lt;&gt;0,AS$5,"")&amp;IF(AT285&lt;&gt;0,AT$5,"")&amp;IF(AU285&lt;&gt;0,AU$5,"")</f>
        <v xml:space="preserve">LUK, HNK, CLN, NTS, DGT, ONT, SON, </v>
      </c>
      <c r="L285" s="413" t="str">
        <f>IF(M285="","",$M$5&amp;":"&amp;M285&amp;";")&amp;IF(N285="","",$N$5&amp;":"&amp;N285&amp;";")&amp;IF(O285="","",$O$5&amp;":"&amp;O285&amp;";")&amp;IF(P285="","",$P$5&amp;":"&amp;P285&amp;";")&amp;IF(Q285="","",$Q$5&amp;":"&amp;Q285&amp;";")&amp;IF(R285="","",$R$5&amp;":"&amp;R285&amp;";")&amp;IF(S285="","",$S$5&amp;":"&amp;S285&amp;";")&amp;IF(T285="","",$T$5&amp;":"&amp;T285&amp;";")&amp;IF(U285="","",$U$5&amp;":"&amp;U285&amp;";")&amp;IF(V285="","",$V$5&amp;":"&amp;V285&amp;";")&amp;IF(W285="","",$W$5&amp;":"&amp;W285&amp;";")&amp;IF(X285="","",$X$5&amp;":"&amp;X285&amp;";")&amp;IF(Y285="","",$Y$5&amp;":"&amp;Y285&amp;";")&amp;IF(Z285="","",$Z$5&amp;":"&amp;Z285&amp;";")&amp;IF(AA285="","",$AA$5&amp;":"&amp;AA285&amp;";")&amp;IF(AB285="","",$AB$5&amp;":"&amp;AB285&amp;";")&amp;IF(AC285="","",$AC$5&amp;":"&amp;AC285&amp;";")&amp;IF(AD285="","",$AD$5&amp;":"&amp;AD285&amp;";")&amp;IF(AE285="","",$AE$5&amp;":"&amp;AE285&amp;";")&amp;IF(AF285="","",$AF$5&amp;":"&amp;AF285&amp;";")&amp;IF(AG285="","",$AG$5&amp;":"&amp;AG285&amp;";")&amp;IF(AH285="","",$AH$5&amp;":"&amp;AH285&amp;";")&amp;IF(AI285="","",$AI$5&amp;":"&amp;AI285&amp;";")&amp;IF(AJ285="","",$AJ$5&amp;":"&amp;AJ285&amp;";")&amp;IF(AK285="","",$AK$5&amp;":"&amp;AK285&amp;";")&amp;IF(AL285="","",$AL$5&amp;":"&amp;AL285&amp;";")&amp;IF(AM285="","",$AM$5&amp;":"&amp;AM285&amp;";")&amp;IF(AN285="","",$AN$5&amp;":"&amp;AN285&amp;";")&amp;IF(AO285="","",$AO$5&amp;":"&amp;AO285&amp;";")&amp;IF(AP285="","",$AP$5&amp;":"&amp;AP285&amp;";")&amp;IF(AQ285="","",$AQ$5&amp;":"&amp;AQ285&amp;";")&amp;IF(AR285="","",$AR$5&amp;":"&amp;AR285&amp;";")&amp;IF(AS285="","",$AS$5&amp;":"&amp;AS285&amp;";")&amp;IF(AT285="","",$AT$5&amp;":"&amp;AT285&amp;";")&amp;IF(AU285="","",$AU$5&amp;":"&amp;AU285&amp;";")</f>
        <v>LUK:4,26;HNK:2,13;CLN:0,34;NTS:11,18;DGT:0,2;ONT:3,28;SON:0,98;</v>
      </c>
      <c r="M285" s="361"/>
      <c r="N285" s="361">
        <v>4.26</v>
      </c>
      <c r="O285" s="361">
        <v>2.13</v>
      </c>
      <c r="P285" s="361">
        <v>0.34</v>
      </c>
      <c r="Q285" s="361">
        <v>11.18</v>
      </c>
      <c r="R285" s="361"/>
      <c r="S285" s="361"/>
      <c r="T285" s="361"/>
      <c r="U285" s="361"/>
      <c r="V285" s="361"/>
      <c r="W285" s="361">
        <v>0.2</v>
      </c>
      <c r="X285" s="361"/>
      <c r="Y285" s="361"/>
      <c r="Z285" s="361"/>
      <c r="AA285" s="361"/>
      <c r="AB285" s="361"/>
      <c r="AC285" s="361"/>
      <c r="AD285" s="361"/>
      <c r="AE285" s="361"/>
      <c r="AF285" s="361"/>
      <c r="AG285" s="361"/>
      <c r="AH285" s="361"/>
      <c r="AI285" s="361"/>
      <c r="AJ285" s="361"/>
      <c r="AK285" s="361"/>
      <c r="AL285" s="361">
        <v>3.28</v>
      </c>
      <c r="AM285" s="361"/>
      <c r="AN285" s="361"/>
      <c r="AO285" s="361"/>
      <c r="AP285" s="361"/>
      <c r="AQ285" s="361">
        <v>0.98</v>
      </c>
      <c r="AR285" s="361"/>
      <c r="AS285" s="361"/>
      <c r="AT285" s="361"/>
      <c r="AU285" s="361"/>
      <c r="AV285" s="338" t="s">
        <v>266</v>
      </c>
      <c r="AW285" s="338" t="s">
        <v>266</v>
      </c>
      <c r="AX285" s="350" t="s">
        <v>727</v>
      </c>
      <c r="AY285" s="356" t="s">
        <v>727</v>
      </c>
      <c r="AZ285" s="352" t="s">
        <v>1417</v>
      </c>
      <c r="BA285" s="350"/>
      <c r="BB285" s="350"/>
      <c r="BC285" s="195" t="s">
        <v>270</v>
      </c>
      <c r="BD285" s="195"/>
      <c r="BE285" s="195"/>
      <c r="BF285" s="195"/>
      <c r="BG285" s="195" t="s">
        <v>263</v>
      </c>
      <c r="BH285" s="350"/>
    </row>
    <row r="286" spans="1:62" ht="76">
      <c r="A286" s="348">
        <f>SUBTOTAL(3,C$11:$C286)</f>
        <v>196</v>
      </c>
      <c r="B286" s="176" t="s">
        <v>728</v>
      </c>
      <c r="C286" s="349" t="s">
        <v>729</v>
      </c>
      <c r="D286" s="361">
        <v>1089.5999999999999</v>
      </c>
      <c r="E286" s="366"/>
      <c r="F286" s="361">
        <v>1089.5999999999999</v>
      </c>
      <c r="G286" s="414">
        <f>SUM(M286:AR286)</f>
        <v>570.22</v>
      </c>
      <c r="H286" s="413" t="s">
        <v>1418</v>
      </c>
      <c r="I286" s="413" t="s">
        <v>1419</v>
      </c>
      <c r="J286" s="413" t="s">
        <v>1420</v>
      </c>
      <c r="K286" s="413" t="str">
        <f>IF(M286&lt;&gt;0,$M$5&amp;", ","")&amp;IF(N286&lt;&gt;0,$N$5&amp;", ","")&amp;IF(O286&lt;&gt;0,O$5&amp;", ","")&amp;IF(P286&lt;&gt;0,P$5&amp;", ","")&amp;IF(Q286&lt;&gt;0,Q$5&amp;", ","")&amp;IF(R286&lt;&gt;0,R$5&amp;", ","")&amp;IF(S286&lt;&gt;0,S$5&amp;", ","")&amp;IF(T286&lt;&gt;0,T$5&amp;", ","")&amp;IF(U286&lt;&gt;0,U$5&amp;", ","")&amp;IF(V286&lt;&gt;0,V$5&amp;", ","")&amp;IF(W286&lt;&gt;0,W$5&amp;", ","")&amp;IF(X286&lt;&gt;0,X$5&amp;", ","")&amp;IF(Y286&lt;&gt;0,Y$5&amp;", ","")&amp;IF(Z286&lt;&gt;0,Z$5&amp;", ","")&amp;IF(AA286&lt;&gt;0,AA$5&amp;", ","")&amp;IF(AB286&lt;&gt;0,AB$5&amp;", ","")&amp;IF(AC286&lt;&gt;0,AC$5&amp;", ","")&amp;IF(AD286&lt;&gt;0,AD$5&amp;", ","")&amp;IF(AE286&lt;&gt;0,AE$5&amp;", ","")&amp;IF(AF286&lt;&gt;0,AF$5&amp;", ","")&amp;IF(AG286&lt;&gt;0,AG$5&amp;", ","")&amp;IF(AH286&lt;&gt;0,AH$5&amp;", ","")&amp;IF(AI286&lt;&gt;0,AI$5&amp;", ","")&amp;IF(AJ286&lt;&gt;0,AJ$5&amp;", ","")&amp;IF(AK286&lt;&gt;0,AK$5&amp;", ","")&amp;IF(AL286&lt;&gt;0,AL$5&amp;", ","")&amp;IF(AM286&lt;&gt;0,AM$5&amp;", ","")&amp;IF(AN286&lt;&gt;0,AN$5&amp;", ","")&amp;IF(AO286&lt;&gt;0,AO$5&amp;", ","")&amp;IF(AP286&lt;&gt;0,AP$5&amp;", ","")&amp;IF(AQ286&lt;&gt;0,AQ$5&amp;", ","")&amp;IF(AR286&lt;&gt;0,AR$5,"")&amp;IF(AS286&lt;&gt;0,AS$5,"")&amp;IF(AT286&lt;&gt;0,AT$5,"")&amp;IF(AU286&lt;&gt;0,AU$5,"")</f>
        <v xml:space="preserve">LUK, HNK, CLN, NTS, DGT, DSH, ONT, </v>
      </c>
      <c r="L286" s="413" t="str">
        <f>IF(M286="","",$M$5&amp;":"&amp;M286&amp;";")&amp;IF(N286="","",$N$5&amp;":"&amp;N286&amp;";")&amp;IF(O286="","",$O$5&amp;":"&amp;O286&amp;";")&amp;IF(P286="","",$P$5&amp;":"&amp;P286&amp;";")&amp;IF(Q286="","",$Q$5&amp;":"&amp;Q286&amp;";")&amp;IF(R286="","",$R$5&amp;":"&amp;R286&amp;";")&amp;IF(S286="","",$S$5&amp;":"&amp;S286&amp;";")&amp;IF(T286="","",$T$5&amp;":"&amp;T286&amp;";")&amp;IF(U286="","",$U$5&amp;":"&amp;U286&amp;";")&amp;IF(V286="","",$V$5&amp;":"&amp;V286&amp;";")&amp;IF(W286="","",$W$5&amp;":"&amp;W286&amp;";")&amp;IF(X286="","",$X$5&amp;":"&amp;X286&amp;";")&amp;IF(Y286="","",$Y$5&amp;":"&amp;Y286&amp;";")&amp;IF(Z286="","",$Z$5&amp;":"&amp;Z286&amp;";")&amp;IF(AA286="","",$AA$5&amp;":"&amp;AA286&amp;";")&amp;IF(AB286="","",$AB$5&amp;":"&amp;AB286&amp;";")&amp;IF(AC286="","",$AC$5&amp;":"&amp;AC286&amp;";")&amp;IF(AD286="","",$AD$5&amp;":"&amp;AD286&amp;";")&amp;IF(AE286="","",$AE$5&amp;":"&amp;AE286&amp;";")&amp;IF(AF286="","",$AF$5&amp;":"&amp;AF286&amp;";")&amp;IF(AG286="","",$AG$5&amp;":"&amp;AG286&amp;";")&amp;IF(AH286="","",$AH$5&amp;":"&amp;AH286&amp;";")&amp;IF(AI286="","",$AI$5&amp;":"&amp;AI286&amp;";")&amp;IF(AJ286="","",$AJ$5&amp;":"&amp;AJ286&amp;";")&amp;IF(AK286="","",$AK$5&amp;":"&amp;AK286&amp;";")&amp;IF(AL286="","",$AL$5&amp;":"&amp;AL286&amp;";")&amp;IF(AM286="","",$AM$5&amp;":"&amp;AM286&amp;";")&amp;IF(AN286="","",$AN$5&amp;":"&amp;AN286&amp;";")&amp;IF(AO286="","",$AO$5&amp;":"&amp;AO286&amp;";")&amp;IF(AP286="","",$AP$5&amp;":"&amp;AP286&amp;";")&amp;IF(AQ286="","",$AQ$5&amp;":"&amp;AQ286&amp;";")&amp;IF(AR286="","",$AR$5&amp;":"&amp;AR286&amp;";")&amp;IF(AS286="","",$AS$5&amp;":"&amp;AS286&amp;";")&amp;IF(AT286="","",$AT$5&amp;":"&amp;AT286&amp;";")&amp;IF(AU286="","",$AU$5&amp;":"&amp;AU286&amp;";")</f>
        <v>LUK:84,9;HNK:17,26;CLN:18,82;NTS:314,51;DGT:26,13;DSH:0,15;ONT:108,45;</v>
      </c>
      <c r="M286" s="361"/>
      <c r="N286" s="361">
        <v>84.9</v>
      </c>
      <c r="O286" s="361">
        <v>17.260000000000002</v>
      </c>
      <c r="P286" s="361">
        <v>18.82</v>
      </c>
      <c r="Q286" s="361">
        <v>314.51</v>
      </c>
      <c r="R286" s="361"/>
      <c r="S286" s="361"/>
      <c r="T286" s="361"/>
      <c r="U286" s="361"/>
      <c r="V286" s="361"/>
      <c r="W286" s="361">
        <v>26.13</v>
      </c>
      <c r="X286" s="361"/>
      <c r="Y286" s="361"/>
      <c r="Z286" s="361"/>
      <c r="AA286" s="361"/>
      <c r="AB286" s="361"/>
      <c r="AC286" s="361"/>
      <c r="AD286" s="361"/>
      <c r="AE286" s="361"/>
      <c r="AF286" s="361"/>
      <c r="AG286" s="361"/>
      <c r="AH286" s="361"/>
      <c r="AI286" s="361"/>
      <c r="AJ286" s="361">
        <v>0.15</v>
      </c>
      <c r="AK286" s="361"/>
      <c r="AL286" s="361">
        <v>108.45</v>
      </c>
      <c r="AM286" s="361"/>
      <c r="AN286" s="361"/>
      <c r="AO286" s="361"/>
      <c r="AP286" s="361"/>
      <c r="AQ286" s="361"/>
      <c r="AR286" s="361"/>
      <c r="AS286" s="361"/>
      <c r="AT286" s="361"/>
      <c r="AU286" s="361"/>
      <c r="AV286" s="338" t="s">
        <v>295</v>
      </c>
      <c r="AW286" s="338" t="s">
        <v>295</v>
      </c>
      <c r="AX286" s="350" t="s">
        <v>1421</v>
      </c>
      <c r="AY286" s="356" t="s">
        <v>1421</v>
      </c>
      <c r="AZ286" s="352" t="s">
        <v>1422</v>
      </c>
      <c r="BA286" s="350"/>
      <c r="BB286" s="350" t="s">
        <v>730</v>
      </c>
      <c r="BC286" s="195" t="s">
        <v>270</v>
      </c>
      <c r="BD286" s="195"/>
      <c r="BE286" s="195"/>
      <c r="BF286" s="195" t="s">
        <v>263</v>
      </c>
      <c r="BG286" s="195"/>
      <c r="BH286" s="350"/>
    </row>
    <row r="287" spans="1:62" ht="62.25" customHeight="1">
      <c r="A287" s="595">
        <f>SUBTOTAL(3,C$11:$C287)</f>
        <v>197</v>
      </c>
      <c r="B287" s="625" t="s">
        <v>731</v>
      </c>
      <c r="C287" s="626" t="s">
        <v>56</v>
      </c>
      <c r="D287" s="598">
        <v>42.2</v>
      </c>
      <c r="E287" s="269"/>
      <c r="F287" s="361">
        <f>F288+F289</f>
        <v>42.199999999999996</v>
      </c>
      <c r="G287" s="414"/>
      <c r="H287" s="413" t="s">
        <v>1423</v>
      </c>
      <c r="I287" s="413"/>
      <c r="J287" s="413"/>
      <c r="K287" s="413"/>
      <c r="L287" s="413"/>
      <c r="M287" s="361"/>
      <c r="N287" s="361"/>
      <c r="O287" s="361"/>
      <c r="P287" s="361"/>
      <c r="Q287" s="361"/>
      <c r="R287" s="361"/>
      <c r="S287" s="361"/>
      <c r="T287" s="361"/>
      <c r="U287" s="361"/>
      <c r="V287" s="361"/>
      <c r="W287" s="361"/>
      <c r="X287" s="361"/>
      <c r="Y287" s="361"/>
      <c r="Z287" s="361"/>
      <c r="AA287" s="361"/>
      <c r="AB287" s="361"/>
      <c r="AC287" s="361"/>
      <c r="AD287" s="361"/>
      <c r="AE287" s="361"/>
      <c r="AF287" s="361"/>
      <c r="AG287" s="361"/>
      <c r="AH287" s="361"/>
      <c r="AI287" s="361"/>
      <c r="AJ287" s="361"/>
      <c r="AK287" s="361"/>
      <c r="AL287" s="361"/>
      <c r="AM287" s="361"/>
      <c r="AN287" s="361"/>
      <c r="AO287" s="361"/>
      <c r="AP287" s="361"/>
      <c r="AQ287" s="361"/>
      <c r="AR287" s="361"/>
      <c r="AS287" s="361"/>
      <c r="AT287" s="361"/>
      <c r="AU287" s="361"/>
      <c r="AV287" s="338" t="s">
        <v>1424</v>
      </c>
      <c r="AW287" s="338"/>
      <c r="AX287" s="351" t="s">
        <v>1425</v>
      </c>
      <c r="AY287" s="356"/>
      <c r="AZ287" s="352"/>
      <c r="BA287" s="350"/>
      <c r="BB287" s="350"/>
      <c r="BC287" s="195"/>
      <c r="BD287" s="195"/>
      <c r="BE287" s="195"/>
      <c r="BF287" s="195"/>
      <c r="BG287" s="195"/>
      <c r="BH287" s="350"/>
    </row>
    <row r="288" spans="1:62" ht="35.15" customHeight="1">
      <c r="A288" s="595"/>
      <c r="B288" s="625"/>
      <c r="C288" s="626"/>
      <c r="D288" s="598"/>
      <c r="E288" s="269"/>
      <c r="F288" s="347">
        <v>34.9</v>
      </c>
      <c r="G288" s="414">
        <f>SUM(M288:AR288)</f>
        <v>34.9</v>
      </c>
      <c r="H288" s="413" t="s">
        <v>1426</v>
      </c>
      <c r="I288" s="413" t="s">
        <v>1050</v>
      </c>
      <c r="J288" s="413" t="s">
        <v>1427</v>
      </c>
      <c r="K288" s="413" t="str">
        <f>IF(M288&lt;&gt;0,$M$5&amp;", ","")&amp;IF(N288&lt;&gt;0,$N$5&amp;", ","")&amp;IF(O288&lt;&gt;0,O$5&amp;", ","")&amp;IF(P288&lt;&gt;0,P$5&amp;", ","")&amp;IF(Q288&lt;&gt;0,Q$5&amp;", ","")&amp;IF(R288&lt;&gt;0,R$5&amp;", ","")&amp;IF(S288&lt;&gt;0,S$5&amp;", ","")&amp;IF(T288&lt;&gt;0,T$5&amp;", ","")&amp;IF(U288&lt;&gt;0,U$5&amp;", ","")&amp;IF(V288&lt;&gt;0,V$5&amp;", ","")&amp;IF(W288&lt;&gt;0,W$5&amp;", ","")&amp;IF(X288&lt;&gt;0,X$5&amp;", ","")&amp;IF(Y288&lt;&gt;0,Y$5&amp;", ","")&amp;IF(Z288&lt;&gt;0,Z$5&amp;", ","")&amp;IF(AA288&lt;&gt;0,AA$5&amp;", ","")&amp;IF(AB288&lt;&gt;0,AB$5&amp;", ","")&amp;IF(AC288&lt;&gt;0,AC$5&amp;", ","")&amp;IF(AD288&lt;&gt;0,AD$5&amp;", ","")&amp;IF(AE288&lt;&gt;0,AE$5&amp;", ","")&amp;IF(AF288&lt;&gt;0,AF$5&amp;", ","")&amp;IF(AG288&lt;&gt;0,AG$5&amp;", ","")&amp;IF(AH288&lt;&gt;0,AH$5&amp;", ","")&amp;IF(AI288&lt;&gt;0,AI$5&amp;", ","")&amp;IF(AJ288&lt;&gt;0,AJ$5&amp;", ","")&amp;IF(AK288&lt;&gt;0,AK$5&amp;", ","")&amp;IF(AL288&lt;&gt;0,AL$5&amp;", ","")&amp;IF(AM288&lt;&gt;0,AM$5&amp;", ","")&amp;IF(AN288&lt;&gt;0,AN$5&amp;", ","")&amp;IF(AO288&lt;&gt;0,AO$5&amp;", ","")&amp;IF(AP288&lt;&gt;0,AP$5&amp;", ","")&amp;IF(AQ288&lt;&gt;0,AQ$5&amp;", ","")&amp;IF(AR288&lt;&gt;0,AR$5,"")&amp;IF(AS288&lt;&gt;0,AS$5,"")&amp;IF(AT288&lt;&gt;0,AT$5,"")&amp;IF(AU288&lt;&gt;0,AU$5,"")</f>
        <v xml:space="preserve">LUC, HNK, CLN, ONT, </v>
      </c>
      <c r="L288" s="413" t="str">
        <f>IF(M288="","",$M$5&amp;":"&amp;M288&amp;";")&amp;IF(N288="","",$N$5&amp;":"&amp;N288&amp;";")&amp;IF(O288="","",$O$5&amp;":"&amp;O288&amp;";")&amp;IF(P288="","",$P$5&amp;":"&amp;P288&amp;";")&amp;IF(Q288="","",$Q$5&amp;":"&amp;Q288&amp;";")&amp;IF(R288="","",$R$5&amp;":"&amp;R288&amp;";")&amp;IF(S288="","",$S$5&amp;":"&amp;S288&amp;";")&amp;IF(T288="","",$T$5&amp;":"&amp;T288&amp;";")&amp;IF(U288="","",$U$5&amp;":"&amp;U288&amp;";")&amp;IF(V288="","",$V$5&amp;":"&amp;V288&amp;";")&amp;IF(W288="","",$W$5&amp;":"&amp;W288&amp;";")&amp;IF(X288="","",$X$5&amp;":"&amp;X288&amp;";")&amp;IF(Y288="","",$Y$5&amp;":"&amp;Y288&amp;";")&amp;IF(Z288="","",$Z$5&amp;":"&amp;Z288&amp;";")&amp;IF(AA288="","",$AA$5&amp;":"&amp;AA288&amp;";")&amp;IF(AB288="","",$AB$5&amp;":"&amp;AB288&amp;";")&amp;IF(AC288="","",$AC$5&amp;":"&amp;AC288&amp;";")&amp;IF(AD288="","",$AD$5&amp;":"&amp;AD288&amp;";")&amp;IF(AE288="","",$AE$5&amp;":"&amp;AE288&amp;";")&amp;IF(AF288="","",$AF$5&amp;":"&amp;AF288&amp;";")&amp;IF(AG288="","",$AG$5&amp;":"&amp;AG288&amp;";")&amp;IF(AH288="","",$AH$5&amp;":"&amp;AH288&amp;";")&amp;IF(AI288="","",$AI$5&amp;":"&amp;AI288&amp;";")&amp;IF(AJ288="","",$AJ$5&amp;":"&amp;AJ288&amp;";")&amp;IF(AK288="","",$AK$5&amp;":"&amp;AK288&amp;";")&amp;IF(AL288="","",$AL$5&amp;":"&amp;AL288&amp;";")&amp;IF(AM288="","",$AM$5&amp;":"&amp;AM288&amp;";")&amp;IF(AN288="","",$AN$5&amp;":"&amp;AN288&amp;";")&amp;IF(AO288="","",$AO$5&amp;":"&amp;AO288&amp;";")&amp;IF(AP288="","",$AP$5&amp;":"&amp;AP288&amp;";")&amp;IF(AQ288="","",$AQ$5&amp;":"&amp;AQ288&amp;";")&amp;IF(AR288="","",$AR$5&amp;":"&amp;AR288&amp;";")&amp;IF(AS288="","",$AS$5&amp;":"&amp;AS288&amp;";")&amp;IF(AT288="","",$AT$5&amp;":"&amp;AT288&amp;";")&amp;IF(AU288="","",$AU$5&amp;":"&amp;AU288&amp;";")</f>
        <v>LUC:29,3;HNK:0,16;CLN:1,04;ONT:4,4;</v>
      </c>
      <c r="M288" s="347">
        <v>29.3</v>
      </c>
      <c r="N288" s="347"/>
      <c r="O288" s="347">
        <v>0.16</v>
      </c>
      <c r="P288" s="347">
        <v>1.04</v>
      </c>
      <c r="Q288" s="347"/>
      <c r="R288" s="347"/>
      <c r="S288" s="347"/>
      <c r="T288" s="347"/>
      <c r="U288" s="347"/>
      <c r="V288" s="347"/>
      <c r="W288" s="347"/>
      <c r="X288" s="347"/>
      <c r="Y288" s="347"/>
      <c r="Z288" s="347"/>
      <c r="AA288" s="347"/>
      <c r="AB288" s="347"/>
      <c r="AC288" s="347"/>
      <c r="AD288" s="347"/>
      <c r="AE288" s="347"/>
      <c r="AF288" s="347"/>
      <c r="AG288" s="347"/>
      <c r="AH288" s="347"/>
      <c r="AI288" s="347"/>
      <c r="AJ288" s="347"/>
      <c r="AK288" s="347"/>
      <c r="AL288" s="347">
        <v>4.4000000000000004</v>
      </c>
      <c r="AM288" s="347"/>
      <c r="AN288" s="347"/>
      <c r="AO288" s="347"/>
      <c r="AP288" s="347"/>
      <c r="AQ288" s="347"/>
      <c r="AR288" s="347"/>
      <c r="AS288" s="347"/>
      <c r="AT288" s="347"/>
      <c r="AU288" s="347"/>
      <c r="AV288" s="338" t="s">
        <v>280</v>
      </c>
      <c r="AW288" s="338" t="s">
        <v>280</v>
      </c>
      <c r="AX288" s="351" t="s">
        <v>1428</v>
      </c>
      <c r="AY288" s="260" t="s">
        <v>1428</v>
      </c>
      <c r="AZ288" s="202" t="s">
        <v>1429</v>
      </c>
      <c r="BA288" s="346"/>
      <c r="BB288" s="607"/>
      <c r="BC288" s="195" t="s">
        <v>270</v>
      </c>
      <c r="BD288" s="195"/>
      <c r="BE288" s="195"/>
      <c r="BF288" s="195" t="s">
        <v>263</v>
      </c>
      <c r="BG288" s="195"/>
      <c r="BH288" s="346"/>
    </row>
    <row r="289" spans="1:62" ht="35.15" customHeight="1">
      <c r="A289" s="595"/>
      <c r="B289" s="625"/>
      <c r="C289" s="626"/>
      <c r="D289" s="598"/>
      <c r="E289" s="269"/>
      <c r="F289" s="347">
        <v>7.3</v>
      </c>
      <c r="G289" s="414">
        <f>SUM(M289:AR289)</f>
        <v>7.3</v>
      </c>
      <c r="H289" s="413" t="s">
        <v>1430</v>
      </c>
      <c r="I289" s="413" t="s">
        <v>1118</v>
      </c>
      <c r="J289" s="413" t="s">
        <v>1430</v>
      </c>
      <c r="K289" s="413" t="str">
        <f>IF(M289&lt;&gt;0,$M$5&amp;", ","")&amp;IF(N289&lt;&gt;0,$N$5&amp;", ","")&amp;IF(O289&lt;&gt;0,O$5&amp;", ","")&amp;IF(P289&lt;&gt;0,P$5&amp;", ","")&amp;IF(Q289&lt;&gt;0,Q$5&amp;", ","")&amp;IF(R289&lt;&gt;0,R$5&amp;", ","")&amp;IF(S289&lt;&gt;0,S$5&amp;", ","")&amp;IF(T289&lt;&gt;0,T$5&amp;", ","")&amp;IF(U289&lt;&gt;0,U$5&amp;", ","")&amp;IF(V289&lt;&gt;0,V$5&amp;", ","")&amp;IF(W289&lt;&gt;0,W$5&amp;", ","")&amp;IF(X289&lt;&gt;0,X$5&amp;", ","")&amp;IF(Y289&lt;&gt;0,Y$5&amp;", ","")&amp;IF(Z289&lt;&gt;0,Z$5&amp;", ","")&amp;IF(AA289&lt;&gt;0,AA$5&amp;", ","")&amp;IF(AB289&lt;&gt;0,AB$5&amp;", ","")&amp;IF(AC289&lt;&gt;0,AC$5&amp;", ","")&amp;IF(AD289&lt;&gt;0,AD$5&amp;", ","")&amp;IF(AE289&lt;&gt;0,AE$5&amp;", ","")&amp;IF(AF289&lt;&gt;0,AF$5&amp;", ","")&amp;IF(AG289&lt;&gt;0,AG$5&amp;", ","")&amp;IF(AH289&lt;&gt;0,AH$5&amp;", ","")&amp;IF(AI289&lt;&gt;0,AI$5&amp;", ","")&amp;IF(AJ289&lt;&gt;0,AJ$5&amp;", ","")&amp;IF(AK289&lt;&gt;0,AK$5&amp;", ","")&amp;IF(AL289&lt;&gt;0,AL$5&amp;", ","")&amp;IF(AM289&lt;&gt;0,AM$5&amp;", ","")&amp;IF(AN289&lt;&gt;0,AN$5&amp;", ","")&amp;IF(AO289&lt;&gt;0,AO$5&amp;", ","")&amp;IF(AP289&lt;&gt;0,AP$5&amp;", ","")&amp;IF(AQ289&lt;&gt;0,AQ$5&amp;", ","")&amp;IF(AR289&lt;&gt;0,AR$5,"")&amp;IF(AS289&lt;&gt;0,AS$5,"")&amp;IF(AT289&lt;&gt;0,AT$5,"")&amp;IF(AU289&lt;&gt;0,AU$5,"")</f>
        <v xml:space="preserve">LUC, HNK, ONT, </v>
      </c>
      <c r="L289" s="413" t="str">
        <f>IF(M289="","",$M$5&amp;":"&amp;M289&amp;";")&amp;IF(N289="","",$N$5&amp;":"&amp;N289&amp;";")&amp;IF(O289="","",$O$5&amp;":"&amp;O289&amp;";")&amp;IF(P289="","",$P$5&amp;":"&amp;P289&amp;";")&amp;IF(Q289="","",$Q$5&amp;":"&amp;Q289&amp;";")&amp;IF(R289="","",$R$5&amp;":"&amp;R289&amp;";")&amp;IF(S289="","",$S$5&amp;":"&amp;S289&amp;";")&amp;IF(T289="","",$T$5&amp;":"&amp;T289&amp;";")&amp;IF(U289="","",$U$5&amp;":"&amp;U289&amp;";")&amp;IF(V289="","",$V$5&amp;":"&amp;V289&amp;";")&amp;IF(W289="","",$W$5&amp;":"&amp;W289&amp;";")&amp;IF(X289="","",$X$5&amp;":"&amp;X289&amp;";")&amp;IF(Y289="","",$Y$5&amp;":"&amp;Y289&amp;";")&amp;IF(Z289="","",$Z$5&amp;":"&amp;Z289&amp;";")&amp;IF(AA289="","",$AA$5&amp;":"&amp;AA289&amp;";")&amp;IF(AB289="","",$AB$5&amp;":"&amp;AB289&amp;";")&amp;IF(AC289="","",$AC$5&amp;":"&amp;AC289&amp;";")&amp;IF(AD289="","",$AD$5&amp;":"&amp;AD289&amp;";")&amp;IF(AE289="","",$AE$5&amp;":"&amp;AE289&amp;";")&amp;IF(AF289="","",$AF$5&amp;":"&amp;AF289&amp;";")&amp;IF(AG289="","",$AG$5&amp;":"&amp;AG289&amp;";")&amp;IF(AH289="","",$AH$5&amp;":"&amp;AH289&amp;";")&amp;IF(AI289="","",$AI$5&amp;":"&amp;AI289&amp;";")&amp;IF(AJ289="","",$AJ$5&amp;":"&amp;AJ289&amp;";")&amp;IF(AK289="","",$AK$5&amp;":"&amp;AK289&amp;";")&amp;IF(AL289="","",$AL$5&amp;":"&amp;AL289&amp;";")&amp;IF(AM289="","",$AM$5&amp;":"&amp;AM289&amp;";")&amp;IF(AN289="","",$AN$5&amp;":"&amp;AN289&amp;";")&amp;IF(AO289="","",$AO$5&amp;":"&amp;AO289&amp;";")&amp;IF(AP289="","",$AP$5&amp;":"&amp;AP289&amp;";")&amp;IF(AQ289="","",$AQ$5&amp;":"&amp;AQ289&amp;";")&amp;IF(AR289="","",$AR$5&amp;":"&amp;AR289&amp;";")&amp;IF(AS289="","",$AS$5&amp;":"&amp;AS289&amp;";")&amp;IF(AT289="","",$AT$5&amp;":"&amp;AT289&amp;";")&amp;IF(AU289="","",$AU$5&amp;":"&amp;AU289&amp;";")</f>
        <v>LUC:5,05;HNK:1,25;ONT:1;</v>
      </c>
      <c r="M289" s="347">
        <v>5.05</v>
      </c>
      <c r="N289" s="347"/>
      <c r="O289" s="347">
        <v>1.25</v>
      </c>
      <c r="P289" s="347"/>
      <c r="Q289" s="347"/>
      <c r="R289" s="347"/>
      <c r="S289" s="347"/>
      <c r="T289" s="347"/>
      <c r="U289" s="347"/>
      <c r="V289" s="347"/>
      <c r="W289" s="347"/>
      <c r="X289" s="347"/>
      <c r="Y289" s="347"/>
      <c r="Z289" s="347"/>
      <c r="AA289" s="347"/>
      <c r="AB289" s="347"/>
      <c r="AC289" s="347"/>
      <c r="AD289" s="347"/>
      <c r="AE289" s="347"/>
      <c r="AF289" s="347"/>
      <c r="AG289" s="347"/>
      <c r="AH289" s="347"/>
      <c r="AI289" s="347"/>
      <c r="AJ289" s="347"/>
      <c r="AK289" s="347"/>
      <c r="AL289" s="347">
        <v>1</v>
      </c>
      <c r="AM289" s="347"/>
      <c r="AN289" s="347"/>
      <c r="AO289" s="347"/>
      <c r="AP289" s="347"/>
      <c r="AQ289" s="347"/>
      <c r="AR289" s="347"/>
      <c r="AS289" s="347"/>
      <c r="AT289" s="347"/>
      <c r="AU289" s="347"/>
      <c r="AV289" s="346" t="s">
        <v>306</v>
      </c>
      <c r="AW289" s="346" t="s">
        <v>306</v>
      </c>
      <c r="AX289" s="186" t="s">
        <v>426</v>
      </c>
      <c r="AY289" s="264" t="s">
        <v>426</v>
      </c>
      <c r="AZ289" s="202" t="s">
        <v>1431</v>
      </c>
      <c r="BA289" s="346"/>
      <c r="BB289" s="607"/>
      <c r="BC289" s="195" t="s">
        <v>270</v>
      </c>
      <c r="BD289" s="195"/>
      <c r="BE289" s="195"/>
      <c r="BF289" s="195" t="s">
        <v>263</v>
      </c>
      <c r="BG289" s="195"/>
      <c r="BH289" s="346"/>
    </row>
    <row r="290" spans="1:62" ht="88.5" customHeight="1">
      <c r="A290" s="348">
        <f>SUBTOTAL(3,C$11:$C290)</f>
        <v>198</v>
      </c>
      <c r="B290" s="345" t="s">
        <v>732</v>
      </c>
      <c r="C290" s="349" t="s">
        <v>729</v>
      </c>
      <c r="D290" s="347">
        <v>110.5</v>
      </c>
      <c r="E290" s="357"/>
      <c r="F290" s="347">
        <v>110.5</v>
      </c>
      <c r="G290" s="414">
        <f>SUM(M290:AR290)</f>
        <v>115.54999999999998</v>
      </c>
      <c r="H290" s="413" t="s">
        <v>1432</v>
      </c>
      <c r="I290" s="413" t="s">
        <v>1433</v>
      </c>
      <c r="J290" s="413" t="s">
        <v>1434</v>
      </c>
      <c r="K290" s="413" t="str">
        <f>IF(M290&lt;&gt;0,$M$5&amp;", ","")&amp;IF(N290&lt;&gt;0,$N$5&amp;", ","")&amp;IF(O290&lt;&gt;0,O$5&amp;", ","")&amp;IF(P290&lt;&gt;0,P$5&amp;", ","")&amp;IF(Q290&lt;&gt;0,Q$5&amp;", ","")&amp;IF(R290&lt;&gt;0,R$5&amp;", ","")&amp;IF(S290&lt;&gt;0,S$5&amp;", ","")&amp;IF(T290&lt;&gt;0,T$5&amp;", ","")&amp;IF(U290&lt;&gt;0,U$5&amp;", ","")&amp;IF(V290&lt;&gt;0,V$5&amp;", ","")&amp;IF(W290&lt;&gt;0,W$5&amp;", ","")&amp;IF(X290&lt;&gt;0,X$5&amp;", ","")&amp;IF(Y290&lt;&gt;0,Y$5&amp;", ","")&amp;IF(Z290&lt;&gt;0,Z$5&amp;", ","")&amp;IF(AA290&lt;&gt;0,AA$5&amp;", ","")&amp;IF(AB290&lt;&gt;0,AB$5&amp;", ","")&amp;IF(AC290&lt;&gt;0,AC$5&amp;", ","")&amp;IF(AD290&lt;&gt;0,AD$5&amp;", ","")&amp;IF(AE290&lt;&gt;0,AE$5&amp;", ","")&amp;IF(AF290&lt;&gt;0,AF$5&amp;", ","")&amp;IF(AG290&lt;&gt;0,AG$5&amp;", ","")&amp;IF(AH290&lt;&gt;0,AH$5&amp;", ","")&amp;IF(AI290&lt;&gt;0,AI$5&amp;", ","")&amp;IF(AJ290&lt;&gt;0,AJ$5&amp;", ","")&amp;IF(AK290&lt;&gt;0,AK$5&amp;", ","")&amp;IF(AL290&lt;&gt;0,AL$5&amp;", ","")&amp;IF(AM290&lt;&gt;0,AM$5&amp;", ","")&amp;IF(AN290&lt;&gt;0,AN$5&amp;", ","")&amp;IF(AO290&lt;&gt;0,AO$5&amp;", ","")&amp;IF(AP290&lt;&gt;0,AP$5&amp;", ","")&amp;IF(AQ290&lt;&gt;0,AQ$5&amp;", ","")&amp;IF(AR290&lt;&gt;0,AR$5,"")&amp;IF(AS290&lt;&gt;0,AS$5,"")&amp;IF(AT290&lt;&gt;0,AT$5,"")&amp;IF(AU290&lt;&gt;0,AU$5,"")</f>
        <v xml:space="preserve">LUC, LUK, HNK, CLN, NTS, NTD, ONT, SON, </v>
      </c>
      <c r="L290" s="413" t="str">
        <f>IF(M290="","",$M$5&amp;":"&amp;M290&amp;";")&amp;IF(N290="","",$N$5&amp;":"&amp;N290&amp;";")&amp;IF(O290="","",$O$5&amp;":"&amp;O290&amp;";")&amp;IF(P290="","",$P$5&amp;":"&amp;P290&amp;";")&amp;IF(Q290="","",$Q$5&amp;":"&amp;Q290&amp;";")&amp;IF(R290="","",$R$5&amp;":"&amp;R290&amp;";")&amp;IF(S290="","",$S$5&amp;":"&amp;S290&amp;";")&amp;IF(T290="","",$T$5&amp;":"&amp;T290&amp;";")&amp;IF(U290="","",$U$5&amp;":"&amp;U290&amp;";")&amp;IF(V290="","",$V$5&amp;":"&amp;V290&amp;";")&amp;IF(W290="","",$W$5&amp;":"&amp;W290&amp;";")&amp;IF(X290="","",$X$5&amp;":"&amp;X290&amp;";")&amp;IF(Y290="","",$Y$5&amp;":"&amp;Y290&amp;";")&amp;IF(Z290="","",$Z$5&amp;":"&amp;Z290&amp;";")&amp;IF(AA290="","",$AA$5&amp;":"&amp;AA290&amp;";")&amp;IF(AB290="","",$AB$5&amp;":"&amp;AB290&amp;";")&amp;IF(AC290="","",$AC$5&amp;":"&amp;AC290&amp;";")&amp;IF(AD290="","",$AD$5&amp;":"&amp;AD290&amp;";")&amp;IF(AE290="","",$AE$5&amp;":"&amp;AE290&amp;";")&amp;IF(AF290="","",$AF$5&amp;":"&amp;AF290&amp;";")&amp;IF(AG290="","",$AG$5&amp;":"&amp;AG290&amp;";")&amp;IF(AH290="","",$AH$5&amp;":"&amp;AH290&amp;";")&amp;IF(AI290="","",$AI$5&amp;":"&amp;AI290&amp;";")&amp;IF(AJ290="","",$AJ$5&amp;":"&amp;AJ290&amp;";")&amp;IF(AK290="","",$AK$5&amp;":"&amp;AK290&amp;";")&amp;IF(AL290="","",$AL$5&amp;":"&amp;AL290&amp;";")&amp;IF(AM290="","",$AM$5&amp;":"&amp;AM290&amp;";")&amp;IF(AN290="","",$AN$5&amp;":"&amp;AN290&amp;";")&amp;IF(AO290="","",$AO$5&amp;":"&amp;AO290&amp;";")&amp;IF(AP290="","",$AP$5&amp;":"&amp;AP290&amp;";")&amp;IF(AQ290="","",$AQ$5&amp;":"&amp;AQ290&amp;";")&amp;IF(AR290="","",$AR$5&amp;":"&amp;AR290&amp;";")&amp;IF(AS290="","",$AS$5&amp;":"&amp;AS290&amp;";")&amp;IF(AT290="","",$AT$5&amp;":"&amp;AT290&amp;";")&amp;IF(AU290="","",$AU$5&amp;":"&amp;AU290&amp;";")</f>
        <v>LUC:15,1;LUK:51,84;HNK:9,95;CLN:8,66;NTS:5,93;NTD:4,27;ONT:18,2;SON:1,6;</v>
      </c>
      <c r="M290" s="347">
        <v>15.1</v>
      </c>
      <c r="N290" s="347">
        <v>51.84</v>
      </c>
      <c r="O290" s="347">
        <v>9.9499999999999993</v>
      </c>
      <c r="P290" s="347">
        <v>8.66</v>
      </c>
      <c r="Q290" s="347">
        <v>5.93</v>
      </c>
      <c r="R290" s="347"/>
      <c r="S290" s="347"/>
      <c r="T290" s="347"/>
      <c r="U290" s="347"/>
      <c r="V290" s="347"/>
      <c r="W290" s="347"/>
      <c r="X290" s="347"/>
      <c r="Y290" s="347"/>
      <c r="Z290" s="347"/>
      <c r="AA290" s="347"/>
      <c r="AB290" s="347"/>
      <c r="AC290" s="347"/>
      <c r="AD290" s="347"/>
      <c r="AE290" s="347"/>
      <c r="AF290" s="347"/>
      <c r="AG290" s="347"/>
      <c r="AH290" s="347">
        <v>4.2699999999999996</v>
      </c>
      <c r="AI290" s="347"/>
      <c r="AJ290" s="347"/>
      <c r="AK290" s="347"/>
      <c r="AL290" s="347">
        <v>18.2</v>
      </c>
      <c r="AM290" s="347"/>
      <c r="AN290" s="347"/>
      <c r="AO290" s="347"/>
      <c r="AP290" s="347"/>
      <c r="AQ290" s="347">
        <v>1.6</v>
      </c>
      <c r="AR290" s="347"/>
      <c r="AS290" s="347"/>
      <c r="AT290" s="347"/>
      <c r="AU290" s="347"/>
      <c r="AV290" s="346" t="s">
        <v>733</v>
      </c>
      <c r="AW290" s="346" t="s">
        <v>733</v>
      </c>
      <c r="AX290" s="350" t="s">
        <v>1435</v>
      </c>
      <c r="AY290" s="356" t="s">
        <v>1435</v>
      </c>
      <c r="AZ290" s="352" t="s">
        <v>1436</v>
      </c>
      <c r="BA290" s="350"/>
      <c r="BB290" s="350"/>
      <c r="BC290" s="195" t="s">
        <v>270</v>
      </c>
      <c r="BD290" s="195"/>
      <c r="BE290" s="195"/>
      <c r="BF290" s="195" t="s">
        <v>263</v>
      </c>
      <c r="BG290" s="195"/>
      <c r="BH290" s="350"/>
    </row>
    <row r="291" spans="1:62" ht="62" customHeight="1">
      <c r="A291" s="595">
        <f>SUBTOTAL(3,C$11:$C291)</f>
        <v>199</v>
      </c>
      <c r="B291" s="613" t="s">
        <v>734</v>
      </c>
      <c r="C291" s="614" t="s">
        <v>56</v>
      </c>
      <c r="D291" s="612">
        <v>85</v>
      </c>
      <c r="E291" s="597"/>
      <c r="F291" s="347">
        <f>F292+F293</f>
        <v>85</v>
      </c>
      <c r="G291" s="414"/>
      <c r="H291" s="413" t="s">
        <v>1437</v>
      </c>
      <c r="I291" s="413"/>
      <c r="J291" s="413"/>
      <c r="K291" s="413"/>
      <c r="L291" s="413"/>
      <c r="M291" s="347"/>
      <c r="N291" s="347"/>
      <c r="O291" s="347"/>
      <c r="P291" s="347"/>
      <c r="Q291" s="347"/>
      <c r="R291" s="347"/>
      <c r="S291" s="347"/>
      <c r="T291" s="347"/>
      <c r="U291" s="347"/>
      <c r="V291" s="347"/>
      <c r="W291" s="347"/>
      <c r="X291" s="347"/>
      <c r="Y291" s="347"/>
      <c r="Z291" s="347"/>
      <c r="AA291" s="347"/>
      <c r="AB291" s="347"/>
      <c r="AC291" s="347"/>
      <c r="AD291" s="347"/>
      <c r="AE291" s="347"/>
      <c r="AF291" s="347"/>
      <c r="AG291" s="347"/>
      <c r="AH291" s="347"/>
      <c r="AI291" s="347"/>
      <c r="AJ291" s="347"/>
      <c r="AK291" s="347"/>
      <c r="AL291" s="347"/>
      <c r="AM291" s="347"/>
      <c r="AN291" s="347"/>
      <c r="AO291" s="347"/>
      <c r="AP291" s="347"/>
      <c r="AQ291" s="347"/>
      <c r="AR291" s="347"/>
      <c r="AS291" s="347"/>
      <c r="AT291" s="347"/>
      <c r="AU291" s="347"/>
      <c r="AV291" s="346" t="s">
        <v>1438</v>
      </c>
      <c r="AW291" s="346"/>
      <c r="AX291" s="350" t="s">
        <v>1439</v>
      </c>
      <c r="AY291" s="356"/>
      <c r="AZ291" s="352"/>
      <c r="BA291" s="350"/>
      <c r="BB291" s="350"/>
      <c r="BC291" s="341"/>
      <c r="BD291" s="341"/>
      <c r="BE291" s="341"/>
      <c r="BF291" s="341"/>
      <c r="BG291" s="341"/>
      <c r="BH291" s="353"/>
    </row>
    <row r="292" spans="1:62" ht="57">
      <c r="A292" s="595"/>
      <c r="B292" s="613"/>
      <c r="C292" s="614"/>
      <c r="D292" s="612"/>
      <c r="E292" s="597"/>
      <c r="F292" s="414">
        <f>SUM(L292:AQ292)</f>
        <v>58.36</v>
      </c>
      <c r="G292" s="414">
        <f>SUM(M292:AR292)</f>
        <v>58.36</v>
      </c>
      <c r="H292" s="413" t="s">
        <v>1440</v>
      </c>
      <c r="I292" s="413" t="s">
        <v>1441</v>
      </c>
      <c r="J292" s="413" t="s">
        <v>1440</v>
      </c>
      <c r="K292" s="413" t="str">
        <f t="shared" ref="K292:K299" si="38">IF(M292&lt;&gt;0,$M$5&amp;", ","")&amp;IF(N292&lt;&gt;0,$N$5&amp;", ","")&amp;IF(O292&lt;&gt;0,O$5&amp;", ","")&amp;IF(P292&lt;&gt;0,P$5&amp;", ","")&amp;IF(Q292&lt;&gt;0,Q$5&amp;", ","")&amp;IF(R292&lt;&gt;0,R$5&amp;", ","")&amp;IF(S292&lt;&gt;0,S$5&amp;", ","")&amp;IF(T292&lt;&gt;0,T$5&amp;", ","")&amp;IF(U292&lt;&gt;0,U$5&amp;", ","")&amp;IF(V292&lt;&gt;0,V$5&amp;", ","")&amp;IF(W292&lt;&gt;0,W$5&amp;", ","")&amp;IF(X292&lt;&gt;0,X$5&amp;", ","")&amp;IF(Y292&lt;&gt;0,Y$5&amp;", ","")&amp;IF(Z292&lt;&gt;0,Z$5&amp;", ","")&amp;IF(AA292&lt;&gt;0,AA$5&amp;", ","")&amp;IF(AB292&lt;&gt;0,AB$5&amp;", ","")&amp;IF(AC292&lt;&gt;0,AC$5&amp;", ","")&amp;IF(AD292&lt;&gt;0,AD$5&amp;", ","")&amp;IF(AE292&lt;&gt;0,AE$5&amp;", ","")&amp;IF(AF292&lt;&gt;0,AF$5&amp;", ","")&amp;IF(AG292&lt;&gt;0,AG$5&amp;", ","")&amp;IF(AH292&lt;&gt;0,AH$5&amp;", ","")&amp;IF(AI292&lt;&gt;0,AI$5&amp;", ","")&amp;IF(AJ292&lt;&gt;0,AJ$5&amp;", ","")&amp;IF(AK292&lt;&gt;0,AK$5&amp;", ","")&amp;IF(AL292&lt;&gt;0,AL$5&amp;", ","")&amp;IF(AM292&lt;&gt;0,AM$5&amp;", ","")&amp;IF(AN292&lt;&gt;0,AN$5&amp;", ","")&amp;IF(AO292&lt;&gt;0,AO$5&amp;", ","")&amp;IF(AP292&lt;&gt;0,AP$5&amp;", ","")&amp;IF(AQ292&lt;&gt;0,AQ$5&amp;", ","")&amp;IF(AR292&lt;&gt;0,AR$5,"")&amp;IF(AS292&lt;&gt;0,AS$5,"")&amp;IF(AT292&lt;&gt;0,AT$5,"")&amp;IF(AU292&lt;&gt;0,AU$5,"")</f>
        <v xml:space="preserve">LUC, HNK, CLN, TMD, DGT, DCH, ONT, SON, </v>
      </c>
      <c r="L292" s="413" t="str">
        <f t="shared" ref="L292:L299" si="39">IF(M292="","",$M$5&amp;":"&amp;M292&amp;";")&amp;IF(N292="","",$N$5&amp;":"&amp;N292&amp;";")&amp;IF(O292="","",$O$5&amp;":"&amp;O292&amp;";")&amp;IF(P292="","",$P$5&amp;":"&amp;P292&amp;";")&amp;IF(Q292="","",$Q$5&amp;":"&amp;Q292&amp;";")&amp;IF(R292="","",$R$5&amp;":"&amp;R292&amp;";")&amp;IF(S292="","",$S$5&amp;":"&amp;S292&amp;";")&amp;IF(T292="","",$T$5&amp;":"&amp;T292&amp;";")&amp;IF(U292="","",$U$5&amp;":"&amp;U292&amp;";")&amp;IF(V292="","",$V$5&amp;":"&amp;V292&amp;";")&amp;IF(W292="","",$W$5&amp;":"&amp;W292&amp;";")&amp;IF(X292="","",$X$5&amp;":"&amp;X292&amp;";")&amp;IF(Y292="","",$Y$5&amp;":"&amp;Y292&amp;";")&amp;IF(Z292="","",$Z$5&amp;":"&amp;Z292&amp;";")&amp;IF(AA292="","",$AA$5&amp;":"&amp;AA292&amp;";")&amp;IF(AB292="","",$AB$5&amp;":"&amp;AB292&amp;";")&amp;IF(AC292="","",$AC$5&amp;":"&amp;AC292&amp;";")&amp;IF(AD292="","",$AD$5&amp;":"&amp;AD292&amp;";")&amp;IF(AE292="","",$AE$5&amp;":"&amp;AE292&amp;";")&amp;IF(AF292="","",$AF$5&amp;":"&amp;AF292&amp;";")&amp;IF(AG292="","",$AG$5&amp;":"&amp;AG292&amp;";")&amp;IF(AH292="","",$AH$5&amp;":"&amp;AH292&amp;";")&amp;IF(AI292="","",$AI$5&amp;":"&amp;AI292&amp;";")&amp;IF(AJ292="","",$AJ$5&amp;":"&amp;AJ292&amp;";")&amp;IF(AK292="","",$AK$5&amp;":"&amp;AK292&amp;";")&amp;IF(AL292="","",$AL$5&amp;":"&amp;AL292&amp;";")&amp;IF(AM292="","",$AM$5&amp;":"&amp;AM292&amp;";")&amp;IF(AN292="","",$AN$5&amp;":"&amp;AN292&amp;";")&amp;IF(AO292="","",$AO$5&amp;":"&amp;AO292&amp;";")&amp;IF(AP292="","",$AP$5&amp;":"&amp;AP292&amp;";")&amp;IF(AQ292="","",$AQ$5&amp;":"&amp;AQ292&amp;";")&amp;IF(AR292="","",$AR$5&amp;":"&amp;AR292&amp;";")&amp;IF(AS292="","",$AS$5&amp;":"&amp;AS292&amp;";")&amp;IF(AT292="","",$AT$5&amp;":"&amp;AT292&amp;";")&amp;IF(AU292="","",$AU$5&amp;":"&amp;AU292&amp;";")</f>
        <v>LUC:34,6;HNK:8,7;CLN:0,47;TMD:0,02;DGT:1,68;DCH:0,02;ONT:11,46;SON:1,41;</v>
      </c>
      <c r="M292" s="339">
        <v>34.6</v>
      </c>
      <c r="N292" s="339"/>
      <c r="O292" s="339">
        <v>8.6999999999999993</v>
      </c>
      <c r="P292" s="339">
        <v>0.47</v>
      </c>
      <c r="Q292" s="339"/>
      <c r="R292" s="339"/>
      <c r="S292" s="339"/>
      <c r="T292" s="339"/>
      <c r="U292" s="339">
        <v>0.02</v>
      </c>
      <c r="V292" s="339"/>
      <c r="W292" s="339">
        <v>1.68</v>
      </c>
      <c r="X292" s="339"/>
      <c r="Y292" s="339"/>
      <c r="Z292" s="339"/>
      <c r="AA292" s="339"/>
      <c r="AB292" s="339"/>
      <c r="AC292" s="339"/>
      <c r="AD292" s="339"/>
      <c r="AE292" s="339"/>
      <c r="AF292" s="339"/>
      <c r="AG292" s="339"/>
      <c r="AH292" s="339"/>
      <c r="AI292" s="339">
        <v>0.02</v>
      </c>
      <c r="AJ292" s="339"/>
      <c r="AK292" s="339"/>
      <c r="AL292" s="339">
        <v>11.46</v>
      </c>
      <c r="AM292" s="339"/>
      <c r="AN292" s="339"/>
      <c r="AO292" s="339"/>
      <c r="AP292" s="339"/>
      <c r="AQ292" s="339">
        <v>1.41</v>
      </c>
      <c r="AR292" s="339"/>
      <c r="AS292" s="339"/>
      <c r="AT292" s="339"/>
      <c r="AU292" s="339"/>
      <c r="AV292" s="338" t="s">
        <v>306</v>
      </c>
      <c r="AW292" s="338" t="s">
        <v>306</v>
      </c>
      <c r="AX292" s="186" t="s">
        <v>1442</v>
      </c>
      <c r="AY292" s="264" t="s">
        <v>1442</v>
      </c>
      <c r="AZ292" s="631" t="s">
        <v>1443</v>
      </c>
      <c r="BA292" s="350" t="s">
        <v>1444</v>
      </c>
      <c r="BB292" s="350"/>
      <c r="BC292" s="627" t="s">
        <v>270</v>
      </c>
      <c r="BD292" s="341"/>
      <c r="BE292" s="341"/>
      <c r="BF292" s="341" t="s">
        <v>263</v>
      </c>
      <c r="BG292" s="341"/>
      <c r="BH292" s="623"/>
    </row>
    <row r="293" spans="1:62" ht="40" customHeight="1">
      <c r="A293" s="595"/>
      <c r="B293" s="613"/>
      <c r="C293" s="614"/>
      <c r="D293" s="612"/>
      <c r="E293" s="597"/>
      <c r="F293" s="414">
        <f>SUM(L293:AQ293)</f>
        <v>26.64</v>
      </c>
      <c r="G293" s="414">
        <f>SUM(M293:AR293)</f>
        <v>26.64</v>
      </c>
      <c r="H293" s="413" t="s">
        <v>1445</v>
      </c>
      <c r="I293" s="413" t="s">
        <v>1446</v>
      </c>
      <c r="J293" s="413" t="s">
        <v>1447</v>
      </c>
      <c r="K293" s="413" t="str">
        <f t="shared" si="38"/>
        <v xml:space="preserve">LUC, HNK, CLN, DGT, NTD, ONT, SON, </v>
      </c>
      <c r="L293" s="413" t="str">
        <f t="shared" si="39"/>
        <v>LUC:17,19;HNK:2,5;CLN:0,16;DGT:0,31;NTD:0,18;ONT:5,08;SON:1,22;</v>
      </c>
      <c r="M293" s="339">
        <v>17.190000000000001</v>
      </c>
      <c r="N293" s="339"/>
      <c r="O293" s="339">
        <v>2.5</v>
      </c>
      <c r="P293" s="339">
        <v>0.16</v>
      </c>
      <c r="Q293" s="339"/>
      <c r="R293" s="339"/>
      <c r="S293" s="339"/>
      <c r="T293" s="339"/>
      <c r="U293" s="339"/>
      <c r="V293" s="339"/>
      <c r="W293" s="339">
        <v>0.31</v>
      </c>
      <c r="X293" s="339"/>
      <c r="Y293" s="339"/>
      <c r="Z293" s="339"/>
      <c r="AA293" s="339"/>
      <c r="AB293" s="339"/>
      <c r="AC293" s="339"/>
      <c r="AD293" s="339"/>
      <c r="AE293" s="339"/>
      <c r="AF293" s="339"/>
      <c r="AG293" s="339"/>
      <c r="AH293" s="339">
        <v>0.18</v>
      </c>
      <c r="AI293" s="339"/>
      <c r="AJ293" s="339"/>
      <c r="AK293" s="339"/>
      <c r="AL293" s="339">
        <v>5.08</v>
      </c>
      <c r="AM293" s="339"/>
      <c r="AN293" s="339"/>
      <c r="AO293" s="339"/>
      <c r="AP293" s="339"/>
      <c r="AQ293" s="339">
        <v>1.22</v>
      </c>
      <c r="AR293" s="339"/>
      <c r="AS293" s="339"/>
      <c r="AT293" s="339"/>
      <c r="AU293" s="339"/>
      <c r="AV293" s="338" t="s">
        <v>289</v>
      </c>
      <c r="AW293" s="338" t="s">
        <v>289</v>
      </c>
      <c r="AX293" s="350" t="s">
        <v>1448</v>
      </c>
      <c r="AY293" s="356" t="s">
        <v>1448</v>
      </c>
      <c r="AZ293" s="631"/>
      <c r="BA293" s="350"/>
      <c r="BB293" s="350"/>
      <c r="BC293" s="628"/>
      <c r="BD293" s="343"/>
      <c r="BE293" s="343"/>
      <c r="BF293" s="343" t="s">
        <v>263</v>
      </c>
      <c r="BG293" s="343"/>
      <c r="BH293" s="624"/>
    </row>
    <row r="294" spans="1:62" ht="35.15" customHeight="1">
      <c r="A294" s="355">
        <f>SUBTOTAL(3,C$11:$C294)</f>
        <v>200</v>
      </c>
      <c r="B294" s="362" t="s">
        <v>735</v>
      </c>
      <c r="C294" s="351" t="s">
        <v>56</v>
      </c>
      <c r="D294" s="339">
        <v>60.5</v>
      </c>
      <c r="E294" s="339">
        <v>38.46</v>
      </c>
      <c r="F294" s="339">
        <v>22.04</v>
      </c>
      <c r="G294" s="414">
        <f t="shared" ref="G294:G299" si="40">SUM(M294:AR294)</f>
        <v>5.6700000000000017</v>
      </c>
      <c r="H294" s="413" t="s">
        <v>56</v>
      </c>
      <c r="I294" s="413" t="s">
        <v>56</v>
      </c>
      <c r="J294" s="413"/>
      <c r="K294" s="413" t="str">
        <f t="shared" si="38"/>
        <v xml:space="preserve">ONT, </v>
      </c>
      <c r="L294" s="413" t="str">
        <f t="shared" si="39"/>
        <v>ONT:5,67;</v>
      </c>
      <c r="M294" s="339"/>
      <c r="N294" s="339"/>
      <c r="O294" s="339"/>
      <c r="P294" s="339"/>
      <c r="Q294" s="339"/>
      <c r="R294" s="339"/>
      <c r="S294" s="339"/>
      <c r="T294" s="339"/>
      <c r="U294" s="339"/>
      <c r="V294" s="339"/>
      <c r="W294" s="339"/>
      <c r="X294" s="339"/>
      <c r="Y294" s="339"/>
      <c r="Z294" s="339"/>
      <c r="AA294" s="339"/>
      <c r="AB294" s="339"/>
      <c r="AC294" s="339"/>
      <c r="AD294" s="339"/>
      <c r="AE294" s="339"/>
      <c r="AF294" s="339"/>
      <c r="AG294" s="339"/>
      <c r="AH294" s="339"/>
      <c r="AI294" s="339"/>
      <c r="AJ294" s="339"/>
      <c r="AK294" s="339"/>
      <c r="AL294" s="339">
        <v>5.6700000000000017</v>
      </c>
      <c r="AM294" s="339"/>
      <c r="AN294" s="339"/>
      <c r="AO294" s="339"/>
      <c r="AP294" s="339"/>
      <c r="AQ294" s="339"/>
      <c r="AR294" s="339"/>
      <c r="AS294" s="339"/>
      <c r="AT294" s="339"/>
      <c r="AU294" s="339"/>
      <c r="AV294" s="338" t="s">
        <v>309</v>
      </c>
      <c r="AW294" s="338" t="s">
        <v>309</v>
      </c>
      <c r="AX294" s="350" t="s">
        <v>736</v>
      </c>
      <c r="AY294" s="356" t="s">
        <v>736</v>
      </c>
      <c r="AZ294" s="352" t="s">
        <v>1449</v>
      </c>
      <c r="BA294" s="350"/>
      <c r="BB294" s="350"/>
      <c r="BC294" s="195" t="s">
        <v>316</v>
      </c>
      <c r="BD294" s="195"/>
      <c r="BE294" s="195"/>
      <c r="BF294" s="195" t="s">
        <v>263</v>
      </c>
      <c r="BG294" s="195"/>
      <c r="BH294" s="350"/>
    </row>
    <row r="295" spans="1:62" ht="35.15" customHeight="1">
      <c r="A295" s="355">
        <f>SUBTOTAL(3,C$11:$C295)</f>
        <v>201</v>
      </c>
      <c r="B295" s="362" t="s">
        <v>737</v>
      </c>
      <c r="C295" s="351" t="s">
        <v>56</v>
      </c>
      <c r="D295" s="339">
        <v>11.5</v>
      </c>
      <c r="E295" s="339"/>
      <c r="F295" s="339">
        <v>11.5</v>
      </c>
      <c r="G295" s="414">
        <f t="shared" si="40"/>
        <v>1.5692000000000004</v>
      </c>
      <c r="H295" s="413" t="s">
        <v>56</v>
      </c>
      <c r="I295" s="413" t="s">
        <v>56</v>
      </c>
      <c r="J295" s="413"/>
      <c r="K295" s="413" t="str">
        <f t="shared" si="38"/>
        <v xml:space="preserve">ONT, </v>
      </c>
      <c r="L295" s="413" t="str">
        <f t="shared" si="39"/>
        <v>ONT:1,5692;</v>
      </c>
      <c r="M295" s="339"/>
      <c r="N295" s="339"/>
      <c r="O295" s="339"/>
      <c r="P295" s="339"/>
      <c r="Q295" s="339"/>
      <c r="R295" s="339"/>
      <c r="S295" s="339"/>
      <c r="T295" s="339"/>
      <c r="U295" s="339"/>
      <c r="V295" s="339"/>
      <c r="W295" s="339"/>
      <c r="X295" s="339"/>
      <c r="Y295" s="339"/>
      <c r="Z295" s="339"/>
      <c r="AA295" s="339"/>
      <c r="AB295" s="339"/>
      <c r="AC295" s="339"/>
      <c r="AD295" s="339"/>
      <c r="AE295" s="339"/>
      <c r="AF295" s="339"/>
      <c r="AG295" s="339"/>
      <c r="AH295" s="339"/>
      <c r="AI295" s="339"/>
      <c r="AJ295" s="339"/>
      <c r="AK295" s="339"/>
      <c r="AL295" s="339">
        <v>1.5692000000000004</v>
      </c>
      <c r="AM295" s="339"/>
      <c r="AN295" s="339"/>
      <c r="AO295" s="339"/>
      <c r="AP295" s="339"/>
      <c r="AQ295" s="339"/>
      <c r="AR295" s="339"/>
      <c r="AS295" s="339"/>
      <c r="AT295" s="339"/>
      <c r="AU295" s="339"/>
      <c r="AV295" s="338" t="s">
        <v>309</v>
      </c>
      <c r="AW295" s="338" t="s">
        <v>309</v>
      </c>
      <c r="AX295" s="350" t="s">
        <v>738</v>
      </c>
      <c r="AY295" s="356" t="s">
        <v>738</v>
      </c>
      <c r="AZ295" s="352" t="s">
        <v>1450</v>
      </c>
      <c r="BA295" s="350"/>
      <c r="BB295" s="350"/>
      <c r="BC295" s="195" t="s">
        <v>316</v>
      </c>
      <c r="BD295" s="195"/>
      <c r="BE295" s="195"/>
      <c r="BF295" s="195" t="s">
        <v>263</v>
      </c>
      <c r="BG295" s="195"/>
      <c r="BH295" s="350"/>
    </row>
    <row r="296" spans="1:62" ht="44.25" customHeight="1">
      <c r="A296" s="355">
        <f>SUBTOTAL(3,C$11:$C296)</f>
        <v>202</v>
      </c>
      <c r="B296" s="362" t="s">
        <v>739</v>
      </c>
      <c r="C296" s="351" t="s">
        <v>56</v>
      </c>
      <c r="D296" s="339">
        <v>14.7</v>
      </c>
      <c r="E296" s="339">
        <v>5.55</v>
      </c>
      <c r="F296" s="339">
        <f>D296-E296</f>
        <v>9.1499999999999986</v>
      </c>
      <c r="G296" s="414">
        <f t="shared" si="40"/>
        <v>9.15</v>
      </c>
      <c r="H296" s="413" t="s">
        <v>1016</v>
      </c>
      <c r="I296" s="413" t="s">
        <v>1451</v>
      </c>
      <c r="J296" s="413" t="s">
        <v>1452</v>
      </c>
      <c r="K296" s="413" t="str">
        <f t="shared" si="38"/>
        <v xml:space="preserve">LUC, SKC, ONT, </v>
      </c>
      <c r="L296" s="413" t="str">
        <f t="shared" si="39"/>
        <v>LUC:6,11;SKC:0,04;ONT:3;</v>
      </c>
      <c r="M296" s="339">
        <v>6.11</v>
      </c>
      <c r="N296" s="339"/>
      <c r="O296" s="339"/>
      <c r="P296" s="339"/>
      <c r="Q296" s="339"/>
      <c r="R296" s="339"/>
      <c r="S296" s="339"/>
      <c r="T296" s="339"/>
      <c r="U296" s="339"/>
      <c r="V296" s="339">
        <v>0.04</v>
      </c>
      <c r="W296" s="339"/>
      <c r="X296" s="339"/>
      <c r="Y296" s="339"/>
      <c r="Z296" s="339"/>
      <c r="AA296" s="339"/>
      <c r="AB296" s="339"/>
      <c r="AC296" s="339"/>
      <c r="AD296" s="339"/>
      <c r="AE296" s="339"/>
      <c r="AF296" s="339"/>
      <c r="AG296" s="339"/>
      <c r="AH296" s="339"/>
      <c r="AI296" s="339"/>
      <c r="AJ296" s="339"/>
      <c r="AK296" s="339"/>
      <c r="AL296" s="339">
        <v>3</v>
      </c>
      <c r="AM296" s="339"/>
      <c r="AN296" s="339"/>
      <c r="AO296" s="339"/>
      <c r="AP296" s="339"/>
      <c r="AQ296" s="339"/>
      <c r="AR296" s="339"/>
      <c r="AS296" s="339"/>
      <c r="AT296" s="339"/>
      <c r="AU296" s="339"/>
      <c r="AV296" s="338" t="s">
        <v>309</v>
      </c>
      <c r="AW296" s="338" t="s">
        <v>309</v>
      </c>
      <c r="AX296" s="350" t="s">
        <v>740</v>
      </c>
      <c r="AY296" s="356" t="s">
        <v>740</v>
      </c>
      <c r="AZ296" s="352" t="s">
        <v>1453</v>
      </c>
      <c r="BA296" s="350"/>
      <c r="BB296" s="350"/>
      <c r="BC296" s="195" t="s">
        <v>316</v>
      </c>
      <c r="BD296" s="195"/>
      <c r="BE296" s="195"/>
      <c r="BF296" s="195" t="s">
        <v>263</v>
      </c>
      <c r="BG296" s="195"/>
      <c r="BH296" s="350"/>
    </row>
    <row r="297" spans="1:62" s="247" customFormat="1" ht="44.25" hidden="1" customHeight="1">
      <c r="A297" s="271">
        <f>SUBTOTAL(3,C$11:$C297)</f>
        <v>202</v>
      </c>
      <c r="B297" s="272" t="s">
        <v>171</v>
      </c>
      <c r="C297" s="273"/>
      <c r="D297" s="244">
        <v>10.4</v>
      </c>
      <c r="E297" s="244"/>
      <c r="F297" s="244">
        <v>10.4</v>
      </c>
      <c r="G297" s="500">
        <f t="shared" si="40"/>
        <v>10.4</v>
      </c>
      <c r="H297" s="501" t="s">
        <v>1016</v>
      </c>
      <c r="I297" s="501" t="s">
        <v>1454</v>
      </c>
      <c r="J297" s="501" t="s">
        <v>1184</v>
      </c>
      <c r="K297" s="501" t="str">
        <f t="shared" si="38"/>
        <v xml:space="preserve">LUC, CLN, ONT, </v>
      </c>
      <c r="L297" s="501" t="str">
        <f t="shared" si="39"/>
        <v>LUC:3,85;CLN:3,28;ONT:3,27;</v>
      </c>
      <c r="M297" s="244">
        <v>3.85</v>
      </c>
      <c r="N297" s="244"/>
      <c r="O297" s="244"/>
      <c r="P297" s="244">
        <v>3.28</v>
      </c>
      <c r="Q297" s="244"/>
      <c r="R297" s="244"/>
      <c r="S297" s="244"/>
      <c r="T297" s="244"/>
      <c r="U297" s="244"/>
      <c r="V297" s="244"/>
      <c r="W297" s="244"/>
      <c r="X297" s="244"/>
      <c r="Y297" s="244"/>
      <c r="Z297" s="244"/>
      <c r="AA297" s="244"/>
      <c r="AB297" s="244"/>
      <c r="AC297" s="244"/>
      <c r="AD297" s="244"/>
      <c r="AE297" s="244"/>
      <c r="AF297" s="244"/>
      <c r="AG297" s="244"/>
      <c r="AH297" s="244"/>
      <c r="AI297" s="244"/>
      <c r="AJ297" s="244"/>
      <c r="AK297" s="244"/>
      <c r="AL297" s="244">
        <v>3.27</v>
      </c>
      <c r="AM297" s="244"/>
      <c r="AN297" s="244"/>
      <c r="AO297" s="244"/>
      <c r="AP297" s="244"/>
      <c r="AQ297" s="244"/>
      <c r="AR297" s="244"/>
      <c r="AS297" s="244"/>
      <c r="AT297" s="244"/>
      <c r="AU297" s="244"/>
      <c r="AV297" s="243" t="s">
        <v>309</v>
      </c>
      <c r="AW297" s="243" t="s">
        <v>309</v>
      </c>
      <c r="AX297" s="245" t="s">
        <v>330</v>
      </c>
      <c r="AY297" s="274" t="s">
        <v>330</v>
      </c>
      <c r="AZ297" s="246" t="s">
        <v>1455</v>
      </c>
      <c r="BA297" s="245" t="s">
        <v>741</v>
      </c>
      <c r="BB297" s="245"/>
      <c r="BC297" s="275" t="s">
        <v>316</v>
      </c>
      <c r="BD297" s="275"/>
      <c r="BE297" s="275"/>
      <c r="BF297" s="275" t="s">
        <v>263</v>
      </c>
      <c r="BG297" s="275"/>
      <c r="BH297" s="245"/>
      <c r="BI297" s="502"/>
      <c r="BJ297" s="502"/>
    </row>
    <row r="298" spans="1:62" ht="44.25" customHeight="1">
      <c r="A298" s="355">
        <f>SUBTOTAL(3,C$11:$C298)</f>
        <v>203</v>
      </c>
      <c r="B298" s="345" t="s">
        <v>742</v>
      </c>
      <c r="C298" s="346" t="s">
        <v>56</v>
      </c>
      <c r="D298" s="339">
        <v>11</v>
      </c>
      <c r="E298" s="339"/>
      <c r="F298" s="339">
        <v>11</v>
      </c>
      <c r="G298" s="414">
        <f t="shared" si="40"/>
        <v>11</v>
      </c>
      <c r="H298" s="413" t="s">
        <v>1016</v>
      </c>
      <c r="I298" s="413" t="s">
        <v>1050</v>
      </c>
      <c r="J298" s="413" t="s">
        <v>1184</v>
      </c>
      <c r="K298" s="413" t="str">
        <f t="shared" si="38"/>
        <v xml:space="preserve">LUC, HNK, CLN, ONT, </v>
      </c>
      <c r="L298" s="413" t="str">
        <f t="shared" si="39"/>
        <v>LUC:3,66;HNK:3,67;CLN:2,75;ONT:0,92;</v>
      </c>
      <c r="M298" s="339">
        <v>3.66</v>
      </c>
      <c r="N298" s="339"/>
      <c r="O298" s="339">
        <v>3.67</v>
      </c>
      <c r="P298" s="339">
        <v>2.75</v>
      </c>
      <c r="Q298" s="339"/>
      <c r="R298" s="339"/>
      <c r="S298" s="339"/>
      <c r="T298" s="339"/>
      <c r="U298" s="339"/>
      <c r="V298" s="339"/>
      <c r="W298" s="339"/>
      <c r="X298" s="339"/>
      <c r="Y298" s="339"/>
      <c r="Z298" s="339"/>
      <c r="AA298" s="339"/>
      <c r="AB298" s="339"/>
      <c r="AC298" s="339"/>
      <c r="AD298" s="339"/>
      <c r="AE298" s="339"/>
      <c r="AF298" s="339"/>
      <c r="AG298" s="339"/>
      <c r="AH298" s="339"/>
      <c r="AI298" s="339"/>
      <c r="AJ298" s="339"/>
      <c r="AK298" s="339"/>
      <c r="AL298" s="339">
        <v>0.92</v>
      </c>
      <c r="AM298" s="339"/>
      <c r="AN298" s="339"/>
      <c r="AO298" s="339"/>
      <c r="AP298" s="339"/>
      <c r="AQ298" s="339"/>
      <c r="AR298" s="339"/>
      <c r="AS298" s="339"/>
      <c r="AT298" s="339"/>
      <c r="AU298" s="339"/>
      <c r="AV298" s="338" t="s">
        <v>309</v>
      </c>
      <c r="AW298" s="338" t="s">
        <v>309</v>
      </c>
      <c r="AX298" s="350" t="s">
        <v>743</v>
      </c>
      <c r="AY298" s="356" t="s">
        <v>743</v>
      </c>
      <c r="AZ298" s="352" t="s">
        <v>1456</v>
      </c>
      <c r="BA298" s="350" t="s">
        <v>741</v>
      </c>
      <c r="BB298" s="350"/>
      <c r="BC298" s="195" t="s">
        <v>316</v>
      </c>
      <c r="BD298" s="195"/>
      <c r="BE298" s="195"/>
      <c r="BF298" s="195" t="s">
        <v>263</v>
      </c>
      <c r="BG298" s="195"/>
      <c r="BH298" s="350"/>
    </row>
    <row r="299" spans="1:62" ht="35.15" customHeight="1">
      <c r="A299" s="355">
        <f>SUBTOTAL(3,C$11:$C299)</f>
        <v>204</v>
      </c>
      <c r="B299" s="345" t="s">
        <v>742</v>
      </c>
      <c r="C299" s="346" t="s">
        <v>56</v>
      </c>
      <c r="D299" s="339">
        <v>21.49</v>
      </c>
      <c r="E299" s="339"/>
      <c r="F299" s="339">
        <v>21.49</v>
      </c>
      <c r="G299" s="414">
        <f t="shared" si="40"/>
        <v>21.490000000000002</v>
      </c>
      <c r="H299" s="413" t="s">
        <v>1072</v>
      </c>
      <c r="I299" s="413" t="s">
        <v>1457</v>
      </c>
      <c r="J299" s="413" t="s">
        <v>1072</v>
      </c>
      <c r="K299" s="413" t="str">
        <f t="shared" si="38"/>
        <v xml:space="preserve">LUC, SKN, </v>
      </c>
      <c r="L299" s="413" t="str">
        <f t="shared" si="39"/>
        <v>LUC:0,01;SKN:21,48;</v>
      </c>
      <c r="M299" s="339">
        <v>0.01</v>
      </c>
      <c r="N299" s="339"/>
      <c r="O299" s="339"/>
      <c r="P299" s="339"/>
      <c r="Q299" s="339"/>
      <c r="R299" s="339"/>
      <c r="S299" s="339"/>
      <c r="T299" s="339">
        <v>21.48</v>
      </c>
      <c r="U299" s="339"/>
      <c r="V299" s="339"/>
      <c r="W299" s="339"/>
      <c r="X299" s="339"/>
      <c r="Y299" s="339"/>
      <c r="Z299" s="339"/>
      <c r="AA299" s="339"/>
      <c r="AB299" s="339"/>
      <c r="AC299" s="339"/>
      <c r="AD299" s="339"/>
      <c r="AE299" s="339"/>
      <c r="AF299" s="339"/>
      <c r="AG299" s="339"/>
      <c r="AH299" s="339"/>
      <c r="AI299" s="339"/>
      <c r="AJ299" s="339"/>
      <c r="AK299" s="339"/>
      <c r="AL299" s="339"/>
      <c r="AM299" s="339"/>
      <c r="AN299" s="339"/>
      <c r="AO299" s="339"/>
      <c r="AP299" s="339"/>
      <c r="AQ299" s="339"/>
      <c r="AR299" s="339"/>
      <c r="AS299" s="339"/>
      <c r="AT299" s="339"/>
      <c r="AU299" s="339"/>
      <c r="AV299" s="338" t="s">
        <v>309</v>
      </c>
      <c r="AW299" s="338" t="s">
        <v>309</v>
      </c>
      <c r="AX299" s="350" t="s">
        <v>744</v>
      </c>
      <c r="AY299" s="356" t="s">
        <v>744</v>
      </c>
      <c r="AZ299" s="352" t="s">
        <v>1458</v>
      </c>
      <c r="BA299" s="350" t="s">
        <v>741</v>
      </c>
      <c r="BB299" s="350"/>
      <c r="BC299" s="195" t="s">
        <v>316</v>
      </c>
      <c r="BD299" s="195"/>
      <c r="BE299" s="195"/>
      <c r="BF299" s="195" t="s">
        <v>263</v>
      </c>
      <c r="BG299" s="195"/>
      <c r="BH299" s="350"/>
    </row>
    <row r="300" spans="1:62" ht="56.25" customHeight="1">
      <c r="A300" s="629">
        <f>SUBTOTAL(3,C$11:$C300)</f>
        <v>205</v>
      </c>
      <c r="B300" s="625" t="s">
        <v>742</v>
      </c>
      <c r="C300" s="607" t="s">
        <v>56</v>
      </c>
      <c r="D300" s="605">
        <v>11</v>
      </c>
      <c r="E300" s="612"/>
      <c r="F300" s="605">
        <v>11</v>
      </c>
      <c r="G300" s="414"/>
      <c r="H300" s="413" t="s">
        <v>1423</v>
      </c>
      <c r="I300" s="413"/>
      <c r="J300" s="413"/>
      <c r="K300" s="413"/>
      <c r="L300" s="413"/>
      <c r="M300" s="339"/>
      <c r="N300" s="339"/>
      <c r="O300" s="339"/>
      <c r="P300" s="339"/>
      <c r="Q300" s="339"/>
      <c r="R300" s="339"/>
      <c r="S300" s="339"/>
      <c r="T300" s="339"/>
      <c r="U300" s="339"/>
      <c r="V300" s="339"/>
      <c r="W300" s="339"/>
      <c r="X300" s="339"/>
      <c r="Y300" s="339"/>
      <c r="Z300" s="339"/>
      <c r="AA300" s="339"/>
      <c r="AB300" s="339"/>
      <c r="AC300" s="339"/>
      <c r="AD300" s="339"/>
      <c r="AE300" s="339"/>
      <c r="AF300" s="339"/>
      <c r="AG300" s="339"/>
      <c r="AH300" s="339"/>
      <c r="AI300" s="339"/>
      <c r="AJ300" s="339"/>
      <c r="AK300" s="339"/>
      <c r="AL300" s="339"/>
      <c r="AM300" s="339"/>
      <c r="AN300" s="339"/>
      <c r="AO300" s="339"/>
      <c r="AP300" s="339"/>
      <c r="AQ300" s="339"/>
      <c r="AR300" s="339"/>
      <c r="AS300" s="339"/>
      <c r="AT300" s="339"/>
      <c r="AU300" s="339"/>
      <c r="AV300" s="338" t="s">
        <v>1459</v>
      </c>
      <c r="AW300" s="338"/>
      <c r="AX300" s="350" t="s">
        <v>745</v>
      </c>
      <c r="AY300" s="356"/>
      <c r="AZ300" s="352"/>
      <c r="BA300" s="350"/>
      <c r="BB300" s="350"/>
      <c r="BC300" s="341"/>
      <c r="BD300" s="195"/>
      <c r="BE300" s="195"/>
      <c r="BF300" s="195"/>
      <c r="BG300" s="341"/>
      <c r="BH300" s="353"/>
    </row>
    <row r="301" spans="1:62" ht="35.15" customHeight="1">
      <c r="A301" s="629"/>
      <c r="B301" s="625"/>
      <c r="C301" s="607"/>
      <c r="D301" s="605"/>
      <c r="E301" s="612"/>
      <c r="F301" s="605"/>
      <c r="G301" s="414">
        <f t="shared" ref="G301:G341" si="41">SUM(M301:AR301)</f>
        <v>4.7846012832263982</v>
      </c>
      <c r="H301" s="413" t="s">
        <v>1460</v>
      </c>
      <c r="I301" s="413" t="s">
        <v>1461</v>
      </c>
      <c r="J301" s="413" t="s">
        <v>1462</v>
      </c>
      <c r="K301" s="413" t="str">
        <f>IF(M301&lt;&gt;0,$M$5&amp;", ","")&amp;IF(N301&lt;&gt;0,$N$5&amp;", ","")&amp;IF(O301&lt;&gt;0,O$5&amp;", ","")&amp;IF(P301&lt;&gt;0,P$5&amp;", ","")&amp;IF(Q301&lt;&gt;0,Q$5&amp;", ","")&amp;IF(R301&lt;&gt;0,R$5&amp;", ","")&amp;IF(S301&lt;&gt;0,S$5&amp;", ","")&amp;IF(T301&lt;&gt;0,T$5&amp;", ","")&amp;IF(U301&lt;&gt;0,U$5&amp;", ","")&amp;IF(V301&lt;&gt;0,V$5&amp;", ","")&amp;IF(W301&lt;&gt;0,W$5&amp;", ","")&amp;IF(X301&lt;&gt;0,X$5&amp;", ","")&amp;IF(Y301&lt;&gt;0,Y$5&amp;", ","")&amp;IF(Z301&lt;&gt;0,Z$5&amp;", ","")&amp;IF(AA301&lt;&gt;0,AA$5&amp;", ","")&amp;IF(AB301&lt;&gt;0,AB$5&amp;", ","")&amp;IF(AC301&lt;&gt;0,AC$5&amp;", ","")&amp;IF(AD301&lt;&gt;0,AD$5&amp;", ","")&amp;IF(AE301&lt;&gt;0,AE$5&amp;", ","")&amp;IF(AF301&lt;&gt;0,AF$5&amp;", ","")&amp;IF(AG301&lt;&gt;0,AG$5&amp;", ","")&amp;IF(AH301&lt;&gt;0,AH$5&amp;", ","")&amp;IF(AI301&lt;&gt;0,AI$5&amp;", ","")&amp;IF(AJ301&lt;&gt;0,AJ$5&amp;", ","")&amp;IF(AK301&lt;&gt;0,AK$5&amp;", ","")&amp;IF(AL301&lt;&gt;0,AL$5&amp;", ","")&amp;IF(AM301&lt;&gt;0,AM$5&amp;", ","")&amp;IF(AN301&lt;&gt;0,AN$5&amp;", ","")&amp;IF(AO301&lt;&gt;0,AO$5&amp;", ","")&amp;IF(AP301&lt;&gt;0,AP$5&amp;", ","")&amp;IF(AQ301&lt;&gt;0,AQ$5&amp;", ","")&amp;IF(AR301&lt;&gt;0,AR$5,"")&amp;IF(AS301&lt;&gt;0,AS$5,"")&amp;IF(AT301&lt;&gt;0,AT$5,"")&amp;IF(AU301&lt;&gt;0,AU$5,"")</f>
        <v xml:space="preserve">LUC, HNK, CLN, NKH, ONT, </v>
      </c>
      <c r="L301" s="413" t="str">
        <f t="shared" ref="L301:L331" si="42">IF(M301="","",$M$5&amp;":"&amp;M301&amp;";")&amp;IF(N301="","",$N$5&amp;":"&amp;N301&amp;";")&amp;IF(O301="","",$O$5&amp;":"&amp;O301&amp;";")&amp;IF(P301="","",$P$5&amp;":"&amp;P301&amp;";")&amp;IF(Q301="","",$Q$5&amp;":"&amp;Q301&amp;";")&amp;IF(R301="","",$R$5&amp;":"&amp;R301&amp;";")&amp;IF(S301="","",$S$5&amp;":"&amp;S301&amp;";")&amp;IF(T301="","",$T$5&amp;":"&amp;T301&amp;";")&amp;IF(U301="","",$U$5&amp;":"&amp;U301&amp;";")&amp;IF(V301="","",$V$5&amp;":"&amp;V301&amp;";")&amp;IF(W301="","",$W$5&amp;":"&amp;W301&amp;";")&amp;IF(X301="","",$X$5&amp;":"&amp;X301&amp;";")&amp;IF(Y301="","",$Y$5&amp;":"&amp;Y301&amp;";")&amp;IF(Z301="","",$Z$5&amp;":"&amp;Z301&amp;";")&amp;IF(AA301="","",$AA$5&amp;":"&amp;AA301&amp;";")&amp;IF(AB301="","",$AB$5&amp;":"&amp;AB301&amp;";")&amp;IF(AC301="","",$AC$5&amp;":"&amp;AC301&amp;";")&amp;IF(AD301="","",$AD$5&amp;":"&amp;AD301&amp;";")&amp;IF(AE301="","",$AE$5&amp;":"&amp;AE301&amp;";")&amp;IF(AF301="","",$AF$5&amp;":"&amp;AF301&amp;";")&amp;IF(AG301="","",$AG$5&amp;":"&amp;AG301&amp;";")&amp;IF(AH301="","",$AH$5&amp;":"&amp;AH301&amp;";")&amp;IF(AI301="","",$AI$5&amp;":"&amp;AI301&amp;";")&amp;IF(AJ301="","",$AJ$5&amp;":"&amp;AJ301&amp;";")&amp;IF(AK301="","",$AK$5&amp;":"&amp;AK301&amp;";")&amp;IF(AL301="","",$AL$5&amp;":"&amp;AL301&amp;";")&amp;IF(AM301="","",$AM$5&amp;":"&amp;AM301&amp;";")&amp;IF(AN301="","",$AN$5&amp;":"&amp;AN301&amp;";")&amp;IF(AO301="","",$AO$5&amp;":"&amp;AO301&amp;";")&amp;IF(AP301="","",$AP$5&amp;":"&amp;AP301&amp;";")&amp;IF(AQ301="","",$AQ$5&amp;":"&amp;AQ301&amp;";")&amp;IF(AR301="","",$AR$5&amp;":"&amp;AR301&amp;";")&amp;IF(AS301="","",$AS$5&amp;":"&amp;AS301&amp;";")&amp;IF(AT301="","",$AT$5&amp;":"&amp;AT301&amp;";")&amp;IF(AU301="","",$AU$5&amp;":"&amp;AU301&amp;";")</f>
        <v>LUC:1,83318056828598;HNK:1,28322639780018;CLN:0,916590284142988;NKH:0,201649862511457;ONT:0,549954170485793;</v>
      </c>
      <c r="M301" s="351">
        <f>1/54.55%</f>
        <v>1.8331805682859763</v>
      </c>
      <c r="N301" s="351"/>
      <c r="O301" s="351">
        <f>0.7/54.55%</f>
        <v>1.2832263978001832</v>
      </c>
      <c r="P301" s="351">
        <f>0.5/54.55%</f>
        <v>0.91659028414298815</v>
      </c>
      <c r="Q301" s="351"/>
      <c r="R301" s="351">
        <f>0.11/54.55%</f>
        <v>0.20164986251145739</v>
      </c>
      <c r="S301" s="351"/>
      <c r="T301" s="351"/>
      <c r="U301" s="351"/>
      <c r="V301" s="351"/>
      <c r="W301" s="351"/>
      <c r="X301" s="351"/>
      <c r="Y301" s="351"/>
      <c r="Z301" s="351"/>
      <c r="AA301" s="351"/>
      <c r="AB301" s="351"/>
      <c r="AC301" s="351"/>
      <c r="AD301" s="351"/>
      <c r="AE301" s="351"/>
      <c r="AF301" s="351"/>
      <c r="AG301" s="351"/>
      <c r="AH301" s="351"/>
      <c r="AI301" s="351"/>
      <c r="AJ301" s="351"/>
      <c r="AK301" s="351"/>
      <c r="AL301" s="351">
        <f>0.3/54.55%</f>
        <v>0.54995417048579287</v>
      </c>
      <c r="AM301" s="351"/>
      <c r="AN301" s="351"/>
      <c r="AO301" s="351"/>
      <c r="AP301" s="351"/>
      <c r="AQ301" s="351"/>
      <c r="AR301" s="351"/>
      <c r="AS301" s="351"/>
      <c r="AT301" s="351"/>
      <c r="AU301" s="351"/>
      <c r="AV301" s="338" t="s">
        <v>280</v>
      </c>
      <c r="AW301" s="338" t="s">
        <v>280</v>
      </c>
      <c r="AX301" s="616" t="s">
        <v>745</v>
      </c>
      <c r="AY301" s="630" t="s">
        <v>745</v>
      </c>
      <c r="AZ301" s="631" t="s">
        <v>1463</v>
      </c>
      <c r="BA301" s="350"/>
      <c r="BB301" s="616"/>
      <c r="BC301" s="627" t="s">
        <v>316</v>
      </c>
      <c r="BD301" s="195"/>
      <c r="BE301" s="195"/>
      <c r="BF301" s="195" t="s">
        <v>263</v>
      </c>
      <c r="BG301" s="341"/>
      <c r="BH301" s="623"/>
    </row>
    <row r="302" spans="1:62" ht="35.15" customHeight="1">
      <c r="A302" s="629"/>
      <c r="B302" s="625"/>
      <c r="C302" s="607"/>
      <c r="D302" s="605"/>
      <c r="E302" s="612"/>
      <c r="F302" s="605"/>
      <c r="G302" s="414">
        <f t="shared" si="41"/>
        <v>6.2144821264894601</v>
      </c>
      <c r="H302" s="413" t="s">
        <v>1464</v>
      </c>
      <c r="I302" s="413" t="s">
        <v>1461</v>
      </c>
      <c r="J302" s="413"/>
      <c r="K302" s="413" t="str">
        <f>IF(M302&lt;&gt;0,$M$5&amp;", ","")&amp;IF(N302&lt;&gt;0,$N$5&amp;", ","")&amp;IF(O302&lt;&gt;0,O$5&amp;", ","")&amp;IF(P302&lt;&gt;0,P$5&amp;", ","")&amp;IF(Q302&lt;&gt;0,Q$5&amp;", ","")&amp;IF(R302&lt;&gt;0,R$5&amp;", ","")&amp;IF(S302&lt;&gt;0,S$5&amp;", ","")&amp;IF(T302&lt;&gt;0,T$5&amp;", ","")&amp;IF(U302&lt;&gt;0,U$5&amp;", ","")&amp;IF(V302&lt;&gt;0,V$5&amp;", ","")&amp;IF(W302&lt;&gt;0,W$5&amp;", ","")&amp;IF(X302&lt;&gt;0,X$5&amp;", ","")&amp;IF(Y302&lt;&gt;0,Y$5&amp;", ","")&amp;IF(Z302&lt;&gt;0,Z$5&amp;", ","")&amp;IF(AA302&lt;&gt;0,AA$5&amp;", ","")&amp;IF(AB302&lt;&gt;0,AB$5&amp;", ","")&amp;IF(AC302&lt;&gt;0,AC$5&amp;", ","")&amp;IF(AD302&lt;&gt;0,AD$5&amp;", ","")&amp;IF(AE302&lt;&gt;0,AE$5&amp;", ","")&amp;IF(AF302&lt;&gt;0,AF$5&amp;", ","")&amp;IF(AG302&lt;&gt;0,AG$5&amp;", ","")&amp;IF(AH302&lt;&gt;0,AH$5&amp;", ","")&amp;IF(AI302&lt;&gt;0,AI$5&amp;", ","")&amp;IF(AJ302&lt;&gt;0,AJ$5&amp;", ","")&amp;IF(AK302&lt;&gt;0,AK$5&amp;", ","")&amp;IF(AL302&lt;&gt;0,AL$5&amp;", ","")&amp;IF(AM302&lt;&gt;0,AM$5&amp;", ","")&amp;IF(AN302&lt;&gt;0,AN$5&amp;", ","")&amp;IF(AO302&lt;&gt;0,AO$5&amp;", ","")&amp;IF(AP302&lt;&gt;0,AP$5&amp;", ","")&amp;IF(AQ302&lt;&gt;0,AQ$5&amp;", ","")&amp;IF(AR302&lt;&gt;0,AR$5,"")&amp;IF(AS302&lt;&gt;0,AS$5,"")&amp;IF(AT302&lt;&gt;0,AT$5,"")&amp;IF(AU302&lt;&gt;0,AU$5,"")</f>
        <v xml:space="preserve">LUC, HNK, CLN, NKH, ONT, </v>
      </c>
      <c r="L302" s="413" t="str">
        <f t="shared" si="42"/>
        <v>LUC:2,9147571035747;HNK:1,17323556370302;CLN:1,04491292392301;NKH:0,201649862511457;ONT:0,879926672777269;</v>
      </c>
      <c r="M302" s="351">
        <f>1.59/54.55%</f>
        <v>2.9147571035747024</v>
      </c>
      <c r="N302" s="351"/>
      <c r="O302" s="351">
        <f>0.64/54.55%</f>
        <v>1.1732355637030247</v>
      </c>
      <c r="P302" s="351">
        <f>0.57/54.55%</f>
        <v>1.0449129239230064</v>
      </c>
      <c r="Q302" s="351"/>
      <c r="R302" s="351">
        <f>0.11/54.55%</f>
        <v>0.20164986251145739</v>
      </c>
      <c r="S302" s="351"/>
      <c r="T302" s="351"/>
      <c r="U302" s="351"/>
      <c r="V302" s="351"/>
      <c r="W302" s="351"/>
      <c r="X302" s="351"/>
      <c r="Y302" s="351"/>
      <c r="Z302" s="351"/>
      <c r="AA302" s="351"/>
      <c r="AB302" s="351"/>
      <c r="AC302" s="351"/>
      <c r="AD302" s="351"/>
      <c r="AE302" s="351"/>
      <c r="AF302" s="351"/>
      <c r="AG302" s="351"/>
      <c r="AH302" s="351"/>
      <c r="AI302" s="351"/>
      <c r="AJ302" s="351"/>
      <c r="AK302" s="351"/>
      <c r="AL302" s="351">
        <f>0.48/54.55%</f>
        <v>0.87992667277726855</v>
      </c>
      <c r="AM302" s="351"/>
      <c r="AN302" s="351"/>
      <c r="AO302" s="351"/>
      <c r="AP302" s="351"/>
      <c r="AQ302" s="351"/>
      <c r="AR302" s="351"/>
      <c r="AS302" s="351"/>
      <c r="AT302" s="351"/>
      <c r="AU302" s="351"/>
      <c r="AV302" s="351" t="s">
        <v>746</v>
      </c>
      <c r="AW302" s="351" t="s">
        <v>746</v>
      </c>
      <c r="AX302" s="616"/>
      <c r="AY302" s="630"/>
      <c r="AZ302" s="631"/>
      <c r="BA302" s="350" t="s">
        <v>747</v>
      </c>
      <c r="BB302" s="616"/>
      <c r="BC302" s="628"/>
      <c r="BD302" s="195"/>
      <c r="BE302" s="195"/>
      <c r="BF302" s="195" t="s">
        <v>263</v>
      </c>
      <c r="BG302" s="343"/>
      <c r="BH302" s="624"/>
    </row>
    <row r="303" spans="1:62" ht="46.5" customHeight="1">
      <c r="A303" s="355">
        <f>SUBTOTAL(3,C$11:$C303)</f>
        <v>206</v>
      </c>
      <c r="B303" s="337" t="s">
        <v>742</v>
      </c>
      <c r="C303" s="338" t="s">
        <v>56</v>
      </c>
      <c r="D303" s="339">
        <v>14.5</v>
      </c>
      <c r="E303" s="339"/>
      <c r="F303" s="339">
        <v>14.5</v>
      </c>
      <c r="G303" s="414">
        <f t="shared" si="41"/>
        <v>14.499389499389499</v>
      </c>
      <c r="H303" s="413" t="s">
        <v>1402</v>
      </c>
      <c r="I303" s="413" t="s">
        <v>1124</v>
      </c>
      <c r="J303" s="413" t="s">
        <v>1465</v>
      </c>
      <c r="K303" s="413" t="str">
        <f>IF(M303&lt;&gt;0,$M$5&amp;", ","")&amp;IF(N303&lt;&gt;0,$N$5&amp;", ","")&amp;IF(O303&lt;&gt;0,O$5&amp;", ","")&amp;IF(P303&lt;&gt;0,P$5&amp;", ","")&amp;IF(Q303&lt;&gt;0,Q$5&amp;", ","")&amp;IF(R303&lt;&gt;0,R$5&amp;", ","")&amp;IF(S303&lt;&gt;0,S$5&amp;", ","")&amp;IF(T303&lt;&gt;0,T$5&amp;", ","")&amp;IF(U303&lt;&gt;0,U$5&amp;", ","")&amp;IF(V303&lt;&gt;0,V$5&amp;", ","")&amp;IF(W303&lt;&gt;0,W$5&amp;", ","")&amp;IF(X303&lt;&gt;0,X$5&amp;", ","")&amp;IF(Y303&lt;&gt;0,Y$5&amp;", ","")&amp;IF(Z303&lt;&gt;0,Z$5&amp;", ","")&amp;IF(AA303&lt;&gt;0,AA$5&amp;", ","")&amp;IF(AB303&lt;&gt;0,AB$5&amp;", ","")&amp;IF(AC303&lt;&gt;0,AC$5&amp;", ","")&amp;IF(AD303&lt;&gt;0,AD$5&amp;", ","")&amp;IF(AE303&lt;&gt;0,AE$5&amp;", ","")&amp;IF(AF303&lt;&gt;0,AF$5&amp;", ","")&amp;IF(AG303&lt;&gt;0,AG$5&amp;", ","")&amp;IF(AH303&lt;&gt;0,AH$5&amp;", ","")&amp;IF(AI303&lt;&gt;0,AI$5&amp;", ","")&amp;IF(AJ303&lt;&gt;0,AJ$5&amp;", ","")&amp;IF(AK303&lt;&gt;0,AK$5&amp;", ","")&amp;IF(AL303&lt;&gt;0,AL$5&amp;", ","")&amp;IF(AM303&lt;&gt;0,AM$5&amp;", ","")&amp;IF(AN303&lt;&gt;0,AN$5&amp;", ","")&amp;IF(AO303&lt;&gt;0,AO$5&amp;", ","")&amp;IF(AP303&lt;&gt;0,AP$5&amp;", ","")&amp;IF(AQ303&lt;&gt;0,AQ$5&amp;", ","")&amp;IF(AR303&lt;&gt;0,AR$5,"")&amp;IF(AS303&lt;&gt;0,AS$5,"")&amp;IF(AT303&lt;&gt;0,AT$5,"")&amp;IF(AU303&lt;&gt;0,AU$5,"")</f>
        <v xml:space="preserve">LUC, DGT, </v>
      </c>
      <c r="L303" s="413" t="str">
        <f t="shared" si="42"/>
        <v>LUC:14,1483516483516;DGT:0,351037851037851;</v>
      </c>
      <c r="M303" s="339">
        <f>9.27/65.52%</f>
        <v>14.148351648351648</v>
      </c>
      <c r="N303" s="339"/>
      <c r="O303" s="339"/>
      <c r="P303" s="339"/>
      <c r="Q303" s="339"/>
      <c r="R303" s="339"/>
      <c r="S303" s="339"/>
      <c r="T303" s="339"/>
      <c r="U303" s="339"/>
      <c r="V303" s="339"/>
      <c r="W303" s="339">
        <f>0.23/65.52%</f>
        <v>0.35103785103785107</v>
      </c>
      <c r="X303" s="339"/>
      <c r="Y303" s="339"/>
      <c r="Z303" s="339"/>
      <c r="AA303" s="339"/>
      <c r="AB303" s="339"/>
      <c r="AC303" s="339"/>
      <c r="AD303" s="339"/>
      <c r="AE303" s="339"/>
      <c r="AF303" s="339"/>
      <c r="AG303" s="339"/>
      <c r="AH303" s="339"/>
      <c r="AI303" s="339"/>
      <c r="AJ303" s="339"/>
      <c r="AK303" s="339"/>
      <c r="AL303" s="339"/>
      <c r="AM303" s="339"/>
      <c r="AN303" s="339"/>
      <c r="AO303" s="339"/>
      <c r="AP303" s="339"/>
      <c r="AQ303" s="339"/>
      <c r="AR303" s="339"/>
      <c r="AS303" s="339"/>
      <c r="AT303" s="339"/>
      <c r="AU303" s="339"/>
      <c r="AV303" s="346" t="s">
        <v>283</v>
      </c>
      <c r="AW303" s="346" t="s">
        <v>283</v>
      </c>
      <c r="AX303" s="350" t="s">
        <v>426</v>
      </c>
      <c r="AY303" s="356" t="s">
        <v>426</v>
      </c>
      <c r="AZ303" s="352" t="s">
        <v>1466</v>
      </c>
      <c r="BA303" s="350"/>
      <c r="BB303" s="350"/>
      <c r="BC303" s="195" t="s">
        <v>316</v>
      </c>
      <c r="BD303" s="195"/>
      <c r="BE303" s="195"/>
      <c r="BF303" s="195" t="s">
        <v>263</v>
      </c>
      <c r="BG303" s="195"/>
      <c r="BH303" s="350"/>
    </row>
    <row r="304" spans="1:62" ht="46.5" customHeight="1">
      <c r="A304" s="355">
        <f>SUBTOTAL(3,C$11:$C304)</f>
        <v>207</v>
      </c>
      <c r="B304" s="337" t="s">
        <v>749</v>
      </c>
      <c r="C304" s="338" t="s">
        <v>56</v>
      </c>
      <c r="D304" s="339">
        <v>38.549999999999997</v>
      </c>
      <c r="E304" s="339">
        <v>31.75</v>
      </c>
      <c r="F304" s="339">
        <f>D304-E304</f>
        <v>6.7999999999999972</v>
      </c>
      <c r="G304" s="414">
        <f t="shared" si="41"/>
        <v>1.75</v>
      </c>
      <c r="H304" s="413" t="s">
        <v>1467</v>
      </c>
      <c r="I304" s="413" t="s">
        <v>11</v>
      </c>
      <c r="J304" s="413" t="s">
        <v>1468</v>
      </c>
      <c r="K304" s="413" t="str">
        <f>IF(M304&lt;&gt;0,$M$5&amp;", ","")&amp;IF(N304&lt;&gt;0,$N$5&amp;", ","")&amp;IF(O304&lt;&gt;0,O$5&amp;", ","")&amp;IF(P304&lt;&gt;0,P$5&amp;", ","")&amp;IF(Q304&lt;&gt;0,Q$5&amp;", ","")&amp;IF(R304&lt;&gt;0,R$5&amp;", ","")&amp;IF(S304&lt;&gt;0,S$5&amp;", ","")&amp;IF(T304&lt;&gt;0,T$5&amp;", ","")&amp;IF(U304&lt;&gt;0,U$5&amp;", ","")&amp;IF(V304&lt;&gt;0,V$5&amp;", ","")&amp;IF(W304&lt;&gt;0,W$5&amp;", ","")&amp;IF(X304&lt;&gt;0,X$5&amp;", ","")&amp;IF(Y304&lt;&gt;0,Y$5&amp;", ","")&amp;IF(Z304&lt;&gt;0,Z$5&amp;", ","")&amp;IF(AA304&lt;&gt;0,AA$5&amp;", ","")&amp;IF(AB304&lt;&gt;0,AB$5&amp;", ","")&amp;IF(AC304&lt;&gt;0,AC$5&amp;", ","")&amp;IF(AD304&lt;&gt;0,AD$5&amp;", ","")&amp;IF(AE304&lt;&gt;0,AE$5&amp;", ","")&amp;IF(AF304&lt;&gt;0,AF$5&amp;", ","")&amp;IF(AG304&lt;&gt;0,AG$5&amp;", ","")&amp;IF(AH304&lt;&gt;0,AH$5&amp;", ","")&amp;IF(AI304&lt;&gt;0,AI$5&amp;", ","")&amp;IF(AJ304&lt;&gt;0,AJ$5&amp;", ","")&amp;IF(AK304&lt;&gt;0,AK$5&amp;", ","")&amp;IF(AL304&lt;&gt;0,AL$5&amp;", ","")&amp;IF(AM304&lt;&gt;0,AM$5&amp;", ","")&amp;IF(AN304&lt;&gt;0,AN$5&amp;", ","")&amp;IF(AO304&lt;&gt;0,AO$5&amp;", ","")&amp;IF(AP304&lt;&gt;0,AP$5&amp;", ","")&amp;IF(AQ304&lt;&gt;0,AQ$5&amp;", ","")&amp;IF(AR304&lt;&gt;0,AR$5,"")&amp;IF(AS304&lt;&gt;0,AS$5,"")&amp;IF(AT304&lt;&gt;0,AT$5,"")&amp;IF(AU304&lt;&gt;0,AU$5,"")</f>
        <v xml:space="preserve">HNK, </v>
      </c>
      <c r="L304" s="413" t="str">
        <f t="shared" si="42"/>
        <v>HNK:1,75;</v>
      </c>
      <c r="M304" s="339"/>
      <c r="N304" s="339"/>
      <c r="O304" s="339">
        <v>1.75</v>
      </c>
      <c r="P304" s="339"/>
      <c r="Q304" s="339"/>
      <c r="R304" s="339"/>
      <c r="S304" s="339"/>
      <c r="T304" s="339"/>
      <c r="U304" s="339"/>
      <c r="V304" s="339"/>
      <c r="W304" s="339"/>
      <c r="X304" s="339"/>
      <c r="Y304" s="339"/>
      <c r="Z304" s="339"/>
      <c r="AA304" s="339"/>
      <c r="AB304" s="339"/>
      <c r="AC304" s="339"/>
      <c r="AD304" s="339"/>
      <c r="AE304" s="339"/>
      <c r="AF304" s="339"/>
      <c r="AG304" s="339"/>
      <c r="AH304" s="339"/>
      <c r="AI304" s="339"/>
      <c r="AJ304" s="339"/>
      <c r="AK304" s="339"/>
      <c r="AL304" s="339"/>
      <c r="AM304" s="339"/>
      <c r="AN304" s="339"/>
      <c r="AO304" s="339"/>
      <c r="AP304" s="339"/>
      <c r="AQ304" s="339"/>
      <c r="AR304" s="339"/>
      <c r="AS304" s="339"/>
      <c r="AT304" s="339"/>
      <c r="AU304" s="339"/>
      <c r="AV304" s="338" t="s">
        <v>280</v>
      </c>
      <c r="AW304" s="338" t="s">
        <v>280</v>
      </c>
      <c r="AX304" s="350" t="s">
        <v>750</v>
      </c>
      <c r="AY304" s="356" t="s">
        <v>750</v>
      </c>
      <c r="AZ304" s="352" t="s">
        <v>1469</v>
      </c>
      <c r="BA304" s="350"/>
      <c r="BB304" s="350"/>
      <c r="BC304" s="195" t="s">
        <v>316</v>
      </c>
      <c r="BD304" s="195"/>
      <c r="BE304" s="195"/>
      <c r="BF304" s="195" t="s">
        <v>263</v>
      </c>
      <c r="BG304" s="195"/>
      <c r="BH304" s="350"/>
    </row>
    <row r="305" spans="1:60" ht="45" customHeight="1">
      <c r="A305" s="355">
        <f>SUBTOTAL(3,C$11:$C305)</f>
        <v>208</v>
      </c>
      <c r="B305" s="345" t="s">
        <v>748</v>
      </c>
      <c r="C305" s="346" t="s">
        <v>56</v>
      </c>
      <c r="D305" s="339">
        <v>13.4</v>
      </c>
      <c r="E305" s="339">
        <v>12.43</v>
      </c>
      <c r="F305" s="339">
        <f>D305-E305</f>
        <v>0.97000000000000064</v>
      </c>
      <c r="G305" s="414">
        <f t="shared" ref="G305" si="43">SUM(L305:AQ305)</f>
        <v>0.97</v>
      </c>
      <c r="H305" s="413" t="s">
        <v>1052</v>
      </c>
      <c r="I305" s="413" t="s">
        <v>968</v>
      </c>
      <c r="J305" s="413" t="str">
        <f>IF(L305&lt;&gt;0,$L$5&amp;", ","")&amp;IF(M305&lt;&gt;0,$M$5&amp;", ","")&amp;IF(N305&lt;&gt;0,N$5&amp;", ","")&amp;IF(O305&lt;&gt;0,O$5&amp;", ","")&amp;IF(P305&lt;&gt;0,P$5&amp;", ","")&amp;IF(Q305&lt;&gt;0,Q$5&amp;", ","")&amp;IF(R305&lt;&gt;0,R$5&amp;", ","")&amp;IF(S305&lt;&gt;0,S$5&amp;", ","")&amp;IF(T305&lt;&gt;0,T$5&amp;", ","")&amp;IF(U305&lt;&gt;0,U$5&amp;", ","")&amp;IF(V305&lt;&gt;0,V$5&amp;", ","")&amp;IF(W305&lt;&gt;0,W$5&amp;", ","")&amp;IF(X305&lt;&gt;0,X$5&amp;", ","")&amp;IF(Y305&lt;&gt;0,Y$5&amp;", ","")&amp;IF(Z305&lt;&gt;0,Z$5&amp;", ","")&amp;IF(AA305&lt;&gt;0,AA$5&amp;", ","")&amp;IF(AB305&lt;&gt;0,AB$5&amp;", ","")&amp;IF(AC305&lt;&gt;0,AC$5&amp;", ","")&amp;IF(AD305&lt;&gt;0,AD$5&amp;", ","")&amp;IF(AE305&lt;&gt;0,AE$5&amp;", ","")&amp;IF(AF305&lt;&gt;0,AF$5&amp;", ","")&amp;IF(AG305&lt;&gt;0,AG$5&amp;", ","")&amp;IF(AH305&lt;&gt;0,AH$5&amp;", ","")&amp;IF(AI305&lt;&gt;0,AI$5&amp;", ","")&amp;IF(AJ305&lt;&gt;0,AJ$5&amp;", ","")&amp;IF(AK305&lt;&gt;0,AK$5&amp;", ","")&amp;IF(AL305&lt;&gt;0,AL$5&amp;", ","")&amp;IF(AM305&lt;&gt;0,AM$5&amp;", ","")&amp;IF(AN305&lt;&gt;0,AN$5&amp;", ","")&amp;IF(AO305&lt;&gt;0,AO$5&amp;", ","")&amp;IF(AP305&lt;&gt;0,AP$5&amp;", ","")&amp;IF(AQ305&lt;&gt;0,AQ$5,"")&amp;IF(AR305&lt;&gt;0,AR$5,"")&amp;IF(AS305&lt;&gt;0,AS$5,"")&amp;IF(AT305&lt;&gt;0,AT$5,"")</f>
        <v xml:space="preserve">LUK, </v>
      </c>
      <c r="K305" s="413" t="str">
        <f t="shared" ref="K305" si="44">IF(L305="","",$L$5&amp;":"&amp;L305&amp;";")&amp;IF(M305="","",$M$5&amp;":"&amp;M305&amp;";")&amp;IF(N305="","",$N$5&amp;":"&amp;N305&amp;";")&amp;IF(O305="","",$O$5&amp;":"&amp;O305&amp;";")&amp;IF(P305="","",$P$5&amp;":"&amp;P305&amp;";")&amp;IF(Q305="","",$Q$5&amp;":"&amp;Q305&amp;";")&amp;IF(R305="","",$R$5&amp;":"&amp;R305&amp;";")&amp;IF(S305="","",$S$5&amp;":"&amp;S305&amp;";")&amp;IF(T305="","",$T$5&amp;":"&amp;T305&amp;";")&amp;IF(U305="","",$U$5&amp;":"&amp;U305&amp;";")&amp;IF(V305="","",$V$5&amp;":"&amp;V305&amp;";")&amp;IF(W305="","",$W$5&amp;":"&amp;W305&amp;";")&amp;IF(X305="","",$X$5&amp;":"&amp;X305&amp;";")&amp;IF(Y305="","",$Y$5&amp;":"&amp;Y305&amp;";")&amp;IF(Z305="","",$Z$5&amp;":"&amp;Z305&amp;";")&amp;IF(AA305="","",$AA$5&amp;":"&amp;AA305&amp;";")&amp;IF(AB305="","",$AB$5&amp;":"&amp;AB305&amp;";")&amp;IF(AC305="","",$AC$5&amp;":"&amp;AC305&amp;";")&amp;IF(AD305="","",$AD$5&amp;":"&amp;AD305&amp;";")&amp;IF(AE305="","",$AE$5&amp;":"&amp;AE305&amp;";")&amp;IF(AF305="","",$AF$5&amp;":"&amp;AF305&amp;";")&amp;IF(AG305="","",$AG$5&amp;":"&amp;AG305&amp;";")&amp;IF(AH305="","",$AH$5&amp;":"&amp;AH305&amp;";")&amp;IF(AI305="","",$AI$5&amp;":"&amp;AI305&amp;";")&amp;IF(AJ305="","",$AJ$5&amp;":"&amp;AJ305&amp;";")&amp;IF(AK305="","",$AK$5&amp;":"&amp;AK305&amp;";")&amp;IF(AL305="","",$AL$5&amp;":"&amp;AL305&amp;";")&amp;IF(AM305="","",$AM$5&amp;":"&amp;AM305&amp;";")&amp;IF(AN305="","",$AN$5&amp;":"&amp;AN305&amp;";")&amp;IF(AO305="","",$AO$5&amp;":"&amp;AO305&amp;";")&amp;IF(AP305="","",$AP$5&amp;":"&amp;AP305&amp;";")&amp;IF(AQ305="","",$AQ$5&amp;":"&amp;AQ305&amp;";")&amp;IF(AR305="","",$AR$5&amp;":"&amp;AR305&amp;";")&amp;IF(AS305="","",$AS$5&amp;":"&amp;AS305&amp;";")&amp;IF(AT305="","",$AT$5&amp;":"&amp;AT305&amp;";")</f>
        <v>LUK:0,97;</v>
      </c>
      <c r="L305" s="339"/>
      <c r="M305" s="339"/>
      <c r="N305" s="339">
        <v>0.97</v>
      </c>
      <c r="O305" s="339"/>
      <c r="P305" s="339"/>
      <c r="Q305" s="339"/>
      <c r="R305" s="339"/>
      <c r="S305" s="339"/>
      <c r="T305" s="339"/>
      <c r="U305" s="339"/>
      <c r="V305" s="339"/>
      <c r="W305" s="339"/>
      <c r="X305" s="339"/>
      <c r="Y305" s="339"/>
      <c r="Z305" s="339"/>
      <c r="AA305" s="339"/>
      <c r="AB305" s="339"/>
      <c r="AC305" s="339"/>
      <c r="AD305" s="339"/>
      <c r="AE305" s="339"/>
      <c r="AF305" s="339"/>
      <c r="AG305" s="339"/>
      <c r="AH305" s="339"/>
      <c r="AI305" s="339"/>
      <c r="AJ305" s="339"/>
      <c r="AK305" s="339"/>
      <c r="AL305" s="339"/>
      <c r="AM305" s="339"/>
      <c r="AN305" s="339"/>
      <c r="AO305" s="339"/>
      <c r="AP305" s="339"/>
      <c r="AQ305" s="339"/>
      <c r="AR305" s="339"/>
      <c r="AS305" s="339"/>
      <c r="AT305" s="339"/>
      <c r="AU305" s="338" t="s">
        <v>280</v>
      </c>
      <c r="AV305" s="338" t="s">
        <v>280</v>
      </c>
      <c r="AW305" s="239" t="s">
        <v>1471</v>
      </c>
      <c r="AX305" s="350" t="s">
        <v>426</v>
      </c>
      <c r="AY305" s="356"/>
      <c r="AZ305" s="352"/>
      <c r="BA305" s="238"/>
      <c r="BB305" s="350"/>
      <c r="BC305" s="195"/>
      <c r="BD305" s="195"/>
      <c r="BE305" s="195"/>
      <c r="BF305" s="195"/>
      <c r="BG305" s="195"/>
      <c r="BH305" s="350"/>
    </row>
    <row r="306" spans="1:60" ht="44.25" customHeight="1">
      <c r="A306" s="355">
        <f>SUBTOTAL(3,C$11:$C306)</f>
        <v>209</v>
      </c>
      <c r="B306" s="345" t="s">
        <v>756</v>
      </c>
      <c r="C306" s="346" t="s">
        <v>56</v>
      </c>
      <c r="D306" s="339">
        <v>10.7</v>
      </c>
      <c r="E306" s="339"/>
      <c r="F306" s="339">
        <v>10.7</v>
      </c>
      <c r="G306" s="414">
        <f t="shared" si="41"/>
        <v>6.8600312913708015</v>
      </c>
      <c r="H306" s="413" t="s">
        <v>1473</v>
      </c>
      <c r="I306" s="413" t="s">
        <v>1036</v>
      </c>
      <c r="J306" s="413" t="s">
        <v>1462</v>
      </c>
      <c r="K306" s="413" t="str">
        <f t="shared" ref="K306:K325" si="45">IF(M306&lt;&gt;0,$M$5&amp;", ","")&amp;IF(N306&lt;&gt;0,$N$5&amp;", ","")&amp;IF(O306&lt;&gt;0,O$5&amp;", ","")&amp;IF(P306&lt;&gt;0,P$5&amp;", ","")&amp;IF(Q306&lt;&gt;0,Q$5&amp;", ","")&amp;IF(R306&lt;&gt;0,R$5&amp;", ","")&amp;IF(S306&lt;&gt;0,S$5&amp;", ","")&amp;IF(T306&lt;&gt;0,T$5&amp;", ","")&amp;IF(U306&lt;&gt;0,U$5&amp;", ","")&amp;IF(V306&lt;&gt;0,V$5&amp;", ","")&amp;IF(W306&lt;&gt;0,W$5&amp;", ","")&amp;IF(X306&lt;&gt;0,X$5&amp;", ","")&amp;IF(Y306&lt;&gt;0,Y$5&amp;", ","")&amp;IF(Z306&lt;&gt;0,Z$5&amp;", ","")&amp;IF(AA306&lt;&gt;0,AA$5&amp;", ","")&amp;IF(AB306&lt;&gt;0,AB$5&amp;", ","")&amp;IF(AC306&lt;&gt;0,AC$5&amp;", ","")&amp;IF(AD306&lt;&gt;0,AD$5&amp;", ","")&amp;IF(AE306&lt;&gt;0,AE$5&amp;", ","")&amp;IF(AF306&lt;&gt;0,AF$5&amp;", ","")&amp;IF(AG306&lt;&gt;0,AG$5&amp;", ","")&amp;IF(AH306&lt;&gt;0,AH$5&amp;", ","")&amp;IF(AI306&lt;&gt;0,AI$5&amp;", ","")&amp;IF(AJ306&lt;&gt;0,AJ$5&amp;", ","")&amp;IF(AK306&lt;&gt;0,AK$5&amp;", ","")&amp;IF(AL306&lt;&gt;0,AL$5&amp;", ","")&amp;IF(AM306&lt;&gt;0,AM$5&amp;", ","")&amp;IF(AN306&lt;&gt;0,AN$5&amp;", ","")&amp;IF(AO306&lt;&gt;0,AO$5&amp;", ","")&amp;IF(AP306&lt;&gt;0,AP$5&amp;", ","")&amp;IF(AQ306&lt;&gt;0,AQ$5&amp;", ","")&amp;IF(AR306&lt;&gt;0,AR$5,"")&amp;IF(AS306&lt;&gt;0,AS$5,"")&amp;IF(AT306&lt;&gt;0,AT$5,"")&amp;IF(AU306&lt;&gt;0,AU$5,"")</f>
        <v xml:space="preserve">LUC, HNK, CLN, DGT, ONT, </v>
      </c>
      <c r="L306" s="413" t="str">
        <f t="shared" si="42"/>
        <v>LUC:3,39391021783608;HNK:1,64881453845228;CLN:0,28884342279456;DGT:0,08424599831508;ONT:1,4442171139728;</v>
      </c>
      <c r="M306" s="339">
        <f>2.82/83.09%</f>
        <v>3.3939102178360807</v>
      </c>
      <c r="N306" s="339"/>
      <c r="O306" s="339">
        <f>1.37/83.09%</f>
        <v>1.6488145384522805</v>
      </c>
      <c r="P306" s="339">
        <f>0.24/83.09%</f>
        <v>0.2888434227945601</v>
      </c>
      <c r="Q306" s="339"/>
      <c r="R306" s="339"/>
      <c r="S306" s="339"/>
      <c r="T306" s="339"/>
      <c r="U306" s="339"/>
      <c r="V306" s="339"/>
      <c r="W306" s="339">
        <f>0.07/83.09%</f>
        <v>8.4245998315080034E-2</v>
      </c>
      <c r="X306" s="339"/>
      <c r="Y306" s="339"/>
      <c r="Z306" s="339"/>
      <c r="AA306" s="339"/>
      <c r="AB306" s="339"/>
      <c r="AC306" s="339"/>
      <c r="AD306" s="339"/>
      <c r="AE306" s="339"/>
      <c r="AF306" s="339"/>
      <c r="AG306" s="339"/>
      <c r="AH306" s="339"/>
      <c r="AI306" s="339"/>
      <c r="AJ306" s="339"/>
      <c r="AK306" s="339"/>
      <c r="AL306" s="339">
        <f>1.2/83.09%</f>
        <v>1.4442171139728004</v>
      </c>
      <c r="AM306" s="339"/>
      <c r="AN306" s="339"/>
      <c r="AO306" s="339"/>
      <c r="AP306" s="339"/>
      <c r="AQ306" s="339"/>
      <c r="AR306" s="339"/>
      <c r="AS306" s="339"/>
      <c r="AT306" s="339"/>
      <c r="AU306" s="339"/>
      <c r="AV306" s="338" t="s">
        <v>280</v>
      </c>
      <c r="AW306" s="338" t="s">
        <v>280</v>
      </c>
      <c r="AX306" s="350" t="s">
        <v>757</v>
      </c>
      <c r="AY306" s="356" t="s">
        <v>757</v>
      </c>
      <c r="AZ306" s="352" t="s">
        <v>1474</v>
      </c>
      <c r="BA306" s="350" t="s">
        <v>758</v>
      </c>
      <c r="BB306" s="350"/>
      <c r="BC306" s="195" t="s">
        <v>316</v>
      </c>
      <c r="BD306" s="195"/>
      <c r="BE306" s="195"/>
      <c r="BF306" s="195"/>
      <c r="BG306" s="195" t="s">
        <v>263</v>
      </c>
      <c r="BH306" s="350"/>
    </row>
    <row r="307" spans="1:60" ht="38">
      <c r="A307" s="355">
        <f>SUBTOTAL(3,C$11:$C307)</f>
        <v>210</v>
      </c>
      <c r="B307" s="345" t="s">
        <v>759</v>
      </c>
      <c r="C307" s="346" t="s">
        <v>56</v>
      </c>
      <c r="D307" s="339">
        <v>75</v>
      </c>
      <c r="E307" s="339">
        <v>22.58</v>
      </c>
      <c r="F307" s="339">
        <v>52.42</v>
      </c>
      <c r="G307" s="414">
        <f t="shared" si="41"/>
        <v>17.028480000000002</v>
      </c>
      <c r="H307" s="413" t="s">
        <v>1016</v>
      </c>
      <c r="I307" s="413" t="s">
        <v>1475</v>
      </c>
      <c r="J307" s="413" t="s">
        <v>1018</v>
      </c>
      <c r="K307" s="413" t="str">
        <f t="shared" si="45"/>
        <v xml:space="preserve">CLN, DGT, ONT, SON, </v>
      </c>
      <c r="L307" s="413" t="str">
        <f t="shared" si="42"/>
        <v>CLN:9,73728;DGT:3,0576;ONT:3,7632;SON:0,4704;</v>
      </c>
      <c r="M307" s="339"/>
      <c r="N307" s="339"/>
      <c r="O307" s="339"/>
      <c r="P307" s="339">
        <f>20.7*47.04%</f>
        <v>9.7372800000000002</v>
      </c>
      <c r="Q307" s="339"/>
      <c r="R307" s="339"/>
      <c r="S307" s="339"/>
      <c r="T307" s="339"/>
      <c r="U307" s="339"/>
      <c r="V307" s="339"/>
      <c r="W307" s="339">
        <f>6.5*47.04%</f>
        <v>3.0575999999999999</v>
      </c>
      <c r="X307" s="339"/>
      <c r="Y307" s="339"/>
      <c r="Z307" s="339"/>
      <c r="AA307" s="339"/>
      <c r="AB307" s="339"/>
      <c r="AC307" s="339"/>
      <c r="AD307" s="339"/>
      <c r="AE307" s="339"/>
      <c r="AF307" s="339"/>
      <c r="AG307" s="339"/>
      <c r="AH307" s="339"/>
      <c r="AI307" s="339"/>
      <c r="AJ307" s="339"/>
      <c r="AK307" s="339"/>
      <c r="AL307" s="339">
        <f>8*47.04%</f>
        <v>3.7631999999999999</v>
      </c>
      <c r="AM307" s="339"/>
      <c r="AN307" s="339"/>
      <c r="AO307" s="339"/>
      <c r="AP307" s="339"/>
      <c r="AQ307" s="339">
        <f>1*47.04%</f>
        <v>0.47039999999999998</v>
      </c>
      <c r="AR307" s="339"/>
      <c r="AS307" s="339"/>
      <c r="AT307" s="339"/>
      <c r="AU307" s="339"/>
      <c r="AV307" s="338" t="s">
        <v>318</v>
      </c>
      <c r="AW307" s="338" t="s">
        <v>318</v>
      </c>
      <c r="AX307" s="350" t="s">
        <v>760</v>
      </c>
      <c r="AY307" s="356" t="s">
        <v>760</v>
      </c>
      <c r="AZ307" s="352" t="s">
        <v>1476</v>
      </c>
      <c r="BA307" s="350" t="s">
        <v>761</v>
      </c>
      <c r="BB307" s="350"/>
      <c r="BC307" s="195" t="s">
        <v>316</v>
      </c>
      <c r="BD307" s="195"/>
      <c r="BE307" s="195"/>
      <c r="BF307" s="195"/>
      <c r="BG307" s="195" t="s">
        <v>263</v>
      </c>
      <c r="BH307" s="350"/>
    </row>
    <row r="308" spans="1:60" ht="38">
      <c r="A308" s="355">
        <f>SUBTOTAL(3,C$11:$C308)</f>
        <v>211</v>
      </c>
      <c r="B308" s="337" t="s">
        <v>762</v>
      </c>
      <c r="C308" s="338" t="s">
        <v>56</v>
      </c>
      <c r="D308" s="339">
        <v>46.18</v>
      </c>
      <c r="E308" s="357">
        <v>42.2</v>
      </c>
      <c r="F308" s="347">
        <f>D308-E308</f>
        <v>3.9799999999999969</v>
      </c>
      <c r="G308" s="414">
        <f t="shared" si="41"/>
        <v>0.57999999999999996</v>
      </c>
      <c r="H308" s="413" t="s">
        <v>1016</v>
      </c>
      <c r="I308" s="413" t="s">
        <v>1477</v>
      </c>
      <c r="J308" s="413" t="s">
        <v>1018</v>
      </c>
      <c r="K308" s="413" t="str">
        <f t="shared" si="45"/>
        <v xml:space="preserve">HNK, CLN, NTS, SON, </v>
      </c>
      <c r="L308" s="413" t="str">
        <f t="shared" si="42"/>
        <v>HNK:0,090625;CLN:0,090625;NTS:0,3625;SON:0,03625;</v>
      </c>
      <c r="M308" s="347"/>
      <c r="N308" s="347"/>
      <c r="O308" s="347">
        <f>0.5*18.125%</f>
        <v>9.0624999999999997E-2</v>
      </c>
      <c r="P308" s="347">
        <f>0.5*18.125%</f>
        <v>9.0624999999999997E-2</v>
      </c>
      <c r="Q308" s="347">
        <f>2*18.125%</f>
        <v>0.36249999999999999</v>
      </c>
      <c r="R308" s="347"/>
      <c r="S308" s="347"/>
      <c r="T308" s="347"/>
      <c r="U308" s="347"/>
      <c r="V308" s="347"/>
      <c r="W308" s="347"/>
      <c r="X308" s="347"/>
      <c r="Y308" s="347"/>
      <c r="Z308" s="347"/>
      <c r="AA308" s="347"/>
      <c r="AB308" s="347"/>
      <c r="AC308" s="347"/>
      <c r="AD308" s="347"/>
      <c r="AE308" s="347"/>
      <c r="AF308" s="347"/>
      <c r="AG308" s="347"/>
      <c r="AH308" s="347"/>
      <c r="AI308" s="347"/>
      <c r="AJ308" s="347"/>
      <c r="AK308" s="347"/>
      <c r="AL308" s="347"/>
      <c r="AM308" s="347"/>
      <c r="AN308" s="347"/>
      <c r="AO308" s="347"/>
      <c r="AP308" s="347"/>
      <c r="AQ308" s="347">
        <f>0.2*18.125%</f>
        <v>3.6249999999999998E-2</v>
      </c>
      <c r="AR308" s="347"/>
      <c r="AS308" s="347"/>
      <c r="AT308" s="347"/>
      <c r="AU308" s="347"/>
      <c r="AV308" s="338" t="s">
        <v>318</v>
      </c>
      <c r="AW308" s="338" t="s">
        <v>318</v>
      </c>
      <c r="AX308" s="350" t="s">
        <v>319</v>
      </c>
      <c r="AY308" s="356" t="s">
        <v>319</v>
      </c>
      <c r="AZ308" s="352" t="s">
        <v>1478</v>
      </c>
      <c r="BA308" s="350" t="s">
        <v>763</v>
      </c>
      <c r="BB308" s="350"/>
      <c r="BC308" s="195" t="s">
        <v>316</v>
      </c>
      <c r="BD308" s="195"/>
      <c r="BE308" s="195"/>
      <c r="BF308" s="195"/>
      <c r="BG308" s="195" t="s">
        <v>263</v>
      </c>
      <c r="BH308" s="350"/>
    </row>
    <row r="309" spans="1:60" ht="57">
      <c r="A309" s="355">
        <f>SUBTOTAL(3,C$11:$C309)</f>
        <v>212</v>
      </c>
      <c r="B309" s="337" t="s">
        <v>764</v>
      </c>
      <c r="C309" s="338" t="s">
        <v>56</v>
      </c>
      <c r="D309" s="339">
        <v>267</v>
      </c>
      <c r="E309" s="339">
        <v>218.53</v>
      </c>
      <c r="F309" s="339">
        <v>48.47</v>
      </c>
      <c r="G309" s="414">
        <f t="shared" si="41"/>
        <v>11.001000000000001</v>
      </c>
      <c r="H309" s="413" t="s">
        <v>1022</v>
      </c>
      <c r="I309" s="413" t="s">
        <v>1479</v>
      </c>
      <c r="J309" s="413" t="s">
        <v>1480</v>
      </c>
      <c r="K309" s="413" t="str">
        <f t="shared" si="45"/>
        <v xml:space="preserve">CLN, NTS, DGT, NTD, </v>
      </c>
      <c r="L309" s="413" t="str">
        <f t="shared" si="42"/>
        <v>CLN:3,619908;NTS:6,880836;DGT:0,4632;NTD:0,037056;</v>
      </c>
      <c r="M309" s="339"/>
      <c r="N309" s="339"/>
      <c r="O309" s="339"/>
      <c r="P309" s="339">
        <f>15.63*23.16%</f>
        <v>3.6199080000000001</v>
      </c>
      <c r="Q309" s="339">
        <f>29.71*23.16%</f>
        <v>6.8808360000000004</v>
      </c>
      <c r="R309" s="339"/>
      <c r="S309" s="339"/>
      <c r="T309" s="339"/>
      <c r="U309" s="339"/>
      <c r="V309" s="339"/>
      <c r="W309" s="339">
        <f>2*23.16%</f>
        <v>0.4632</v>
      </c>
      <c r="X309" s="339"/>
      <c r="Y309" s="339"/>
      <c r="Z309" s="339"/>
      <c r="AA309" s="339"/>
      <c r="AB309" s="339"/>
      <c r="AC309" s="339"/>
      <c r="AD309" s="339"/>
      <c r="AE309" s="339"/>
      <c r="AF309" s="339"/>
      <c r="AG309" s="339"/>
      <c r="AH309" s="339">
        <f>0.16*23.16%</f>
        <v>3.7055999999999999E-2</v>
      </c>
      <c r="AI309" s="339"/>
      <c r="AJ309" s="339"/>
      <c r="AK309" s="339"/>
      <c r="AL309" s="339"/>
      <c r="AM309" s="339"/>
      <c r="AN309" s="339"/>
      <c r="AO309" s="339"/>
      <c r="AP309" s="339"/>
      <c r="AQ309" s="339"/>
      <c r="AR309" s="339"/>
      <c r="AS309" s="339"/>
      <c r="AT309" s="339"/>
      <c r="AU309" s="339"/>
      <c r="AV309" s="338" t="s">
        <v>318</v>
      </c>
      <c r="AW309" s="338" t="s">
        <v>318</v>
      </c>
      <c r="AX309" s="350" t="s">
        <v>413</v>
      </c>
      <c r="AY309" s="356" t="s">
        <v>413</v>
      </c>
      <c r="AZ309" s="352" t="s">
        <v>1481</v>
      </c>
      <c r="BA309" s="350" t="s">
        <v>765</v>
      </c>
      <c r="BB309" s="350"/>
      <c r="BC309" s="195" t="s">
        <v>316</v>
      </c>
      <c r="BD309" s="195"/>
      <c r="BE309" s="195"/>
      <c r="BF309" s="195"/>
      <c r="BG309" s="195" t="s">
        <v>263</v>
      </c>
      <c r="BH309" s="350"/>
    </row>
    <row r="310" spans="1:60" ht="35.15" customHeight="1">
      <c r="A310" s="355">
        <f>SUBTOTAL(3,C$11:$C310)</f>
        <v>213</v>
      </c>
      <c r="B310" s="345" t="s">
        <v>766</v>
      </c>
      <c r="C310" s="346" t="s">
        <v>56</v>
      </c>
      <c r="D310" s="339">
        <v>5.4</v>
      </c>
      <c r="E310" s="339">
        <f>4.74+0.27</f>
        <v>5.01</v>
      </c>
      <c r="F310" s="339">
        <v>0.39</v>
      </c>
      <c r="G310" s="414">
        <f t="shared" si="41"/>
        <v>0.39</v>
      </c>
      <c r="H310" s="413" t="s">
        <v>1482</v>
      </c>
      <c r="I310" s="413" t="s">
        <v>32</v>
      </c>
      <c r="J310" s="413"/>
      <c r="K310" s="413" t="str">
        <f t="shared" si="45"/>
        <v xml:space="preserve">SKC, </v>
      </c>
      <c r="L310" s="413" t="str">
        <f t="shared" si="42"/>
        <v>SKC:0,39;</v>
      </c>
      <c r="M310" s="339"/>
      <c r="N310" s="339"/>
      <c r="O310" s="339"/>
      <c r="P310" s="339"/>
      <c r="Q310" s="339"/>
      <c r="R310" s="339"/>
      <c r="S310" s="339"/>
      <c r="T310" s="339"/>
      <c r="U310" s="339"/>
      <c r="V310" s="339">
        <v>0.39</v>
      </c>
      <c r="W310" s="339"/>
      <c r="X310" s="339"/>
      <c r="Y310" s="339"/>
      <c r="Z310" s="339"/>
      <c r="AA310" s="339"/>
      <c r="AB310" s="339"/>
      <c r="AC310" s="339"/>
      <c r="AD310" s="339"/>
      <c r="AE310" s="339"/>
      <c r="AF310" s="339"/>
      <c r="AG310" s="339"/>
      <c r="AH310" s="339"/>
      <c r="AI310" s="339"/>
      <c r="AJ310" s="339"/>
      <c r="AK310" s="339"/>
      <c r="AL310" s="339"/>
      <c r="AM310" s="339"/>
      <c r="AN310" s="339"/>
      <c r="AO310" s="339"/>
      <c r="AP310" s="339"/>
      <c r="AQ310" s="339"/>
      <c r="AR310" s="339"/>
      <c r="AS310" s="339"/>
      <c r="AT310" s="339"/>
      <c r="AU310" s="339"/>
      <c r="AV310" s="338" t="s">
        <v>318</v>
      </c>
      <c r="AW310" s="338" t="s">
        <v>318</v>
      </c>
      <c r="AX310" s="350" t="s">
        <v>319</v>
      </c>
      <c r="AY310" s="356" t="s">
        <v>319</v>
      </c>
      <c r="AZ310" s="352" t="s">
        <v>1483</v>
      </c>
      <c r="BA310" s="350" t="s">
        <v>767</v>
      </c>
      <c r="BB310" s="350"/>
      <c r="BC310" s="195" t="s">
        <v>316</v>
      </c>
      <c r="BD310" s="195"/>
      <c r="BE310" s="195"/>
      <c r="BF310" s="195"/>
      <c r="BG310" s="195" t="s">
        <v>263</v>
      </c>
      <c r="BH310" s="350"/>
    </row>
    <row r="311" spans="1:60" ht="36">
      <c r="A311" s="355">
        <f>SUBTOTAL(3,C$11:$C311)</f>
        <v>214</v>
      </c>
      <c r="B311" s="201" t="s">
        <v>768</v>
      </c>
      <c r="C311" s="350" t="s">
        <v>56</v>
      </c>
      <c r="D311" s="339">
        <v>25.46</v>
      </c>
      <c r="E311" s="339">
        <v>25.380000000000003</v>
      </c>
      <c r="F311" s="339">
        <v>0.08</v>
      </c>
      <c r="G311" s="414">
        <f t="shared" si="41"/>
        <v>25.46</v>
      </c>
      <c r="H311" s="413" t="s">
        <v>1072</v>
      </c>
      <c r="I311" s="413" t="s">
        <v>7</v>
      </c>
      <c r="J311" s="413" t="s">
        <v>1072</v>
      </c>
      <c r="K311" s="413" t="str">
        <f t="shared" si="45"/>
        <v xml:space="preserve">ONT, </v>
      </c>
      <c r="L311" s="413" t="str">
        <f t="shared" si="42"/>
        <v>ONT:25,46;</v>
      </c>
      <c r="M311" s="339"/>
      <c r="N311" s="339"/>
      <c r="O311" s="339"/>
      <c r="P311" s="339"/>
      <c r="Q311" s="339"/>
      <c r="R311" s="339"/>
      <c r="S311" s="339"/>
      <c r="T311" s="339"/>
      <c r="U311" s="339"/>
      <c r="V311" s="339"/>
      <c r="W311" s="339"/>
      <c r="X311" s="339"/>
      <c r="Y311" s="339"/>
      <c r="Z311" s="339"/>
      <c r="AA311" s="339"/>
      <c r="AB311" s="339"/>
      <c r="AC311" s="339"/>
      <c r="AD311" s="339"/>
      <c r="AE311" s="339"/>
      <c r="AF311" s="339"/>
      <c r="AG311" s="339"/>
      <c r="AH311" s="339"/>
      <c r="AI311" s="339"/>
      <c r="AJ311" s="339"/>
      <c r="AK311" s="339"/>
      <c r="AL311" s="339">
        <v>25.46</v>
      </c>
      <c r="AM311" s="339"/>
      <c r="AN311" s="339"/>
      <c r="AO311" s="339"/>
      <c r="AP311" s="339"/>
      <c r="AQ311" s="339"/>
      <c r="AR311" s="339"/>
      <c r="AS311" s="339"/>
      <c r="AT311" s="339"/>
      <c r="AU311" s="339"/>
      <c r="AV311" s="338" t="s">
        <v>318</v>
      </c>
      <c r="AW311" s="338" t="s">
        <v>318</v>
      </c>
      <c r="AX311" s="351" t="s">
        <v>332</v>
      </c>
      <c r="AY311" s="260" t="s">
        <v>332</v>
      </c>
      <c r="AZ311" s="352" t="s">
        <v>1484</v>
      </c>
      <c r="BA311" s="350"/>
      <c r="BB311" s="350"/>
      <c r="BC311" s="195" t="s">
        <v>316</v>
      </c>
      <c r="BD311" s="195"/>
      <c r="BE311" s="195"/>
      <c r="BF311" s="195"/>
      <c r="BG311" s="195" t="s">
        <v>263</v>
      </c>
      <c r="BH311" s="350"/>
    </row>
    <row r="312" spans="1:60" ht="48.75" customHeight="1">
      <c r="A312" s="355">
        <f>SUBTOTAL(3,C$11:$C312)</f>
        <v>215</v>
      </c>
      <c r="B312" s="345" t="s">
        <v>769</v>
      </c>
      <c r="C312" s="346" t="s">
        <v>56</v>
      </c>
      <c r="D312" s="339">
        <v>14.4</v>
      </c>
      <c r="E312" s="339"/>
      <c r="F312" s="339">
        <v>14.4</v>
      </c>
      <c r="G312" s="414">
        <f t="shared" si="41"/>
        <v>14.4</v>
      </c>
      <c r="H312" s="413" t="s">
        <v>1016</v>
      </c>
      <c r="I312" s="413" t="s">
        <v>1485</v>
      </c>
      <c r="J312" s="413" t="s">
        <v>1018</v>
      </c>
      <c r="K312" s="413" t="str">
        <f t="shared" si="45"/>
        <v xml:space="preserve">CLN, SON, </v>
      </c>
      <c r="L312" s="413" t="str">
        <f t="shared" si="42"/>
        <v>CLN:14;SON:0,4;</v>
      </c>
      <c r="M312" s="339"/>
      <c r="N312" s="339"/>
      <c r="O312" s="339"/>
      <c r="P312" s="339">
        <v>14</v>
      </c>
      <c r="Q312" s="339"/>
      <c r="R312" s="339"/>
      <c r="S312" s="339"/>
      <c r="T312" s="339"/>
      <c r="U312" s="339"/>
      <c r="V312" s="339"/>
      <c r="W312" s="339"/>
      <c r="X312" s="339"/>
      <c r="Y312" s="339"/>
      <c r="Z312" s="339"/>
      <c r="AA312" s="339"/>
      <c r="AB312" s="339"/>
      <c r="AC312" s="339"/>
      <c r="AD312" s="339"/>
      <c r="AE312" s="339"/>
      <c r="AF312" s="339"/>
      <c r="AG312" s="339"/>
      <c r="AH312" s="339"/>
      <c r="AI312" s="339"/>
      <c r="AJ312" s="339"/>
      <c r="AK312" s="339"/>
      <c r="AL312" s="339"/>
      <c r="AM312" s="339"/>
      <c r="AN312" s="339"/>
      <c r="AO312" s="339"/>
      <c r="AP312" s="339"/>
      <c r="AQ312" s="339">
        <v>0.4</v>
      </c>
      <c r="AR312" s="339"/>
      <c r="AS312" s="339"/>
      <c r="AT312" s="339"/>
      <c r="AU312" s="339"/>
      <c r="AV312" s="338" t="s">
        <v>318</v>
      </c>
      <c r="AW312" s="338" t="s">
        <v>318</v>
      </c>
      <c r="AX312" s="350" t="s">
        <v>332</v>
      </c>
      <c r="AY312" s="356" t="s">
        <v>332</v>
      </c>
      <c r="AZ312" s="352" t="s">
        <v>1486</v>
      </c>
      <c r="BA312" s="350"/>
      <c r="BB312" s="350"/>
      <c r="BC312" s="195" t="s">
        <v>316</v>
      </c>
      <c r="BD312" s="195"/>
      <c r="BE312" s="195"/>
      <c r="BF312" s="195"/>
      <c r="BG312" s="195" t="s">
        <v>263</v>
      </c>
      <c r="BH312" s="350"/>
    </row>
    <row r="313" spans="1:60" ht="35.15" customHeight="1">
      <c r="A313" s="355">
        <f>SUBTOTAL(3,C$11:$C313)</f>
        <v>216</v>
      </c>
      <c r="B313" s="345" t="s">
        <v>769</v>
      </c>
      <c r="C313" s="346" t="s">
        <v>56</v>
      </c>
      <c r="D313" s="339">
        <v>14.5</v>
      </c>
      <c r="E313" s="339">
        <v>14</v>
      </c>
      <c r="F313" s="339">
        <v>0.5</v>
      </c>
      <c r="G313" s="414">
        <f t="shared" si="41"/>
        <v>0.5</v>
      </c>
      <c r="H313" s="413" t="s">
        <v>1072</v>
      </c>
      <c r="I313" s="413" t="s">
        <v>18</v>
      </c>
      <c r="J313" s="413" t="s">
        <v>1072</v>
      </c>
      <c r="K313" s="413" t="str">
        <f t="shared" si="45"/>
        <v xml:space="preserve">NTS, </v>
      </c>
      <c r="L313" s="413" t="str">
        <f t="shared" si="42"/>
        <v>NTS:0,5;</v>
      </c>
      <c r="M313" s="339"/>
      <c r="N313" s="339"/>
      <c r="O313" s="339"/>
      <c r="P313" s="339"/>
      <c r="Q313" s="339">
        <v>0.5</v>
      </c>
      <c r="R313" s="339"/>
      <c r="S313" s="339"/>
      <c r="T313" s="339"/>
      <c r="U313" s="339"/>
      <c r="V313" s="339"/>
      <c r="W313" s="339"/>
      <c r="X313" s="339"/>
      <c r="Y313" s="339"/>
      <c r="Z313" s="339"/>
      <c r="AA313" s="339"/>
      <c r="AB313" s="339"/>
      <c r="AC313" s="339"/>
      <c r="AD313" s="339"/>
      <c r="AE313" s="339"/>
      <c r="AF313" s="339"/>
      <c r="AG313" s="339"/>
      <c r="AH313" s="339"/>
      <c r="AI313" s="339"/>
      <c r="AJ313" s="339"/>
      <c r="AK313" s="339"/>
      <c r="AL313" s="339"/>
      <c r="AM313" s="339"/>
      <c r="AN313" s="339"/>
      <c r="AO313" s="339"/>
      <c r="AP313" s="339"/>
      <c r="AQ313" s="339"/>
      <c r="AR313" s="339"/>
      <c r="AS313" s="339"/>
      <c r="AT313" s="339"/>
      <c r="AU313" s="339"/>
      <c r="AV313" s="338" t="s">
        <v>318</v>
      </c>
      <c r="AW313" s="338" t="s">
        <v>318</v>
      </c>
      <c r="AX313" s="350" t="s">
        <v>332</v>
      </c>
      <c r="AY313" s="356" t="s">
        <v>332</v>
      </c>
      <c r="AZ313" s="352" t="s">
        <v>1487</v>
      </c>
      <c r="BA313" s="350"/>
      <c r="BB313" s="350"/>
      <c r="BC313" s="195" t="s">
        <v>316</v>
      </c>
      <c r="BD313" s="195"/>
      <c r="BE313" s="195"/>
      <c r="BF313" s="195"/>
      <c r="BG313" s="195" t="s">
        <v>263</v>
      </c>
      <c r="BH313" s="350"/>
    </row>
    <row r="314" spans="1:60" ht="35.15" customHeight="1">
      <c r="A314" s="355">
        <f>SUBTOTAL(3,C$11:$C314)</f>
        <v>217</v>
      </c>
      <c r="B314" s="345" t="s">
        <v>770</v>
      </c>
      <c r="C314" s="346" t="s">
        <v>56</v>
      </c>
      <c r="D314" s="339">
        <v>20</v>
      </c>
      <c r="E314" s="339">
        <f>19.66+0.31</f>
        <v>19.97</v>
      </c>
      <c r="F314" s="339">
        <v>0.03</v>
      </c>
      <c r="G314" s="414">
        <f t="shared" si="41"/>
        <v>2.9988000000000001E-2</v>
      </c>
      <c r="H314" s="413" t="s">
        <v>1120</v>
      </c>
      <c r="I314" s="413" t="s">
        <v>1120</v>
      </c>
      <c r="J314" s="413"/>
      <c r="K314" s="413" t="str">
        <f t="shared" si="45"/>
        <v xml:space="preserve">HNK, CLN, </v>
      </c>
      <c r="L314" s="413" t="str">
        <f t="shared" si="42"/>
        <v>HNK:0,02646;CLN:0,003528;</v>
      </c>
      <c r="M314" s="339"/>
      <c r="N314" s="339"/>
      <c r="O314" s="339">
        <f>0.3*8.82%</f>
        <v>2.6460000000000001E-2</v>
      </c>
      <c r="P314" s="157">
        <f>0.04*8.82%</f>
        <v>3.5279999999999999E-3</v>
      </c>
      <c r="Q314" s="339"/>
      <c r="R314" s="339"/>
      <c r="S314" s="339"/>
      <c r="T314" s="339"/>
      <c r="U314" s="339"/>
      <c r="V314" s="339"/>
      <c r="W314" s="339"/>
      <c r="X314" s="339"/>
      <c r="Y314" s="339"/>
      <c r="Z314" s="339"/>
      <c r="AA314" s="339"/>
      <c r="AB314" s="339"/>
      <c r="AC314" s="339"/>
      <c r="AD314" s="339"/>
      <c r="AE314" s="339"/>
      <c r="AF314" s="339"/>
      <c r="AG314" s="339"/>
      <c r="AH314" s="339"/>
      <c r="AI314" s="339"/>
      <c r="AJ314" s="339"/>
      <c r="AK314" s="339"/>
      <c r="AL314" s="339"/>
      <c r="AM314" s="339"/>
      <c r="AN314" s="339"/>
      <c r="AO314" s="339"/>
      <c r="AP314" s="339"/>
      <c r="AQ314" s="339"/>
      <c r="AR314" s="339"/>
      <c r="AS314" s="339"/>
      <c r="AT314" s="339"/>
      <c r="AU314" s="339"/>
      <c r="AV314" s="338" t="s">
        <v>318</v>
      </c>
      <c r="AW314" s="338" t="s">
        <v>318</v>
      </c>
      <c r="AX314" s="350" t="s">
        <v>319</v>
      </c>
      <c r="AY314" s="356" t="s">
        <v>319</v>
      </c>
      <c r="AZ314" s="352" t="s">
        <v>1488</v>
      </c>
      <c r="BA314" s="182"/>
      <c r="BB314" s="350"/>
      <c r="BC314" s="195" t="s">
        <v>316</v>
      </c>
      <c r="BD314" s="195"/>
      <c r="BE314" s="195"/>
      <c r="BF314" s="195"/>
      <c r="BG314" s="195" t="s">
        <v>263</v>
      </c>
      <c r="BH314" s="350"/>
    </row>
    <row r="315" spans="1:60" ht="50.25" customHeight="1">
      <c r="A315" s="355">
        <f>SUBTOTAL(3,C$11:$C315)</f>
        <v>218</v>
      </c>
      <c r="B315" s="201" t="s">
        <v>771</v>
      </c>
      <c r="C315" s="350" t="s">
        <v>56</v>
      </c>
      <c r="D315" s="339">
        <v>10</v>
      </c>
      <c r="E315" s="357"/>
      <c r="F315" s="347">
        <v>10</v>
      </c>
      <c r="G315" s="414">
        <f t="shared" si="41"/>
        <v>10</v>
      </c>
      <c r="H315" s="413" t="s">
        <v>1016</v>
      </c>
      <c r="I315" s="413" t="s">
        <v>1489</v>
      </c>
      <c r="J315" s="413" t="s">
        <v>1018</v>
      </c>
      <c r="K315" s="413" t="str">
        <f t="shared" si="45"/>
        <v xml:space="preserve">NTS, DGT, ONT, SON, </v>
      </c>
      <c r="L315" s="413" t="str">
        <f t="shared" si="42"/>
        <v>NTS:7,5;DGT:0,16;ONT:0,9;SON:1,44;</v>
      </c>
      <c r="M315" s="347"/>
      <c r="N315" s="347"/>
      <c r="O315" s="347"/>
      <c r="P315" s="347"/>
      <c r="Q315" s="347">
        <v>7.5</v>
      </c>
      <c r="R315" s="347"/>
      <c r="S315" s="347"/>
      <c r="T315" s="347"/>
      <c r="U315" s="347"/>
      <c r="V315" s="347"/>
      <c r="W315" s="347">
        <v>0.16</v>
      </c>
      <c r="X315" s="347"/>
      <c r="Y315" s="347"/>
      <c r="Z315" s="347"/>
      <c r="AA315" s="347"/>
      <c r="AB315" s="347"/>
      <c r="AC315" s="347"/>
      <c r="AD315" s="347"/>
      <c r="AE315" s="347"/>
      <c r="AF315" s="347"/>
      <c r="AG315" s="347"/>
      <c r="AH315" s="347"/>
      <c r="AI315" s="347"/>
      <c r="AJ315" s="347"/>
      <c r="AK315" s="347"/>
      <c r="AL315" s="347">
        <v>0.9</v>
      </c>
      <c r="AM315" s="347"/>
      <c r="AN315" s="347"/>
      <c r="AO315" s="347"/>
      <c r="AP315" s="347"/>
      <c r="AQ315" s="347">
        <v>1.44</v>
      </c>
      <c r="AR315" s="347"/>
      <c r="AS315" s="347"/>
      <c r="AT315" s="347"/>
      <c r="AU315" s="347"/>
      <c r="AV315" s="338" t="s">
        <v>318</v>
      </c>
      <c r="AW315" s="338" t="s">
        <v>318</v>
      </c>
      <c r="AX315" s="350" t="s">
        <v>772</v>
      </c>
      <c r="AY315" s="356" t="s">
        <v>772</v>
      </c>
      <c r="AZ315" s="352" t="s">
        <v>1490</v>
      </c>
      <c r="BA315" s="350"/>
      <c r="BB315" s="350" t="s">
        <v>773</v>
      </c>
      <c r="BC315" s="195" t="s">
        <v>316</v>
      </c>
      <c r="BD315" s="195"/>
      <c r="BE315" s="195"/>
      <c r="BF315" s="195" t="s">
        <v>263</v>
      </c>
      <c r="BG315" s="195"/>
      <c r="BH315" s="350"/>
    </row>
    <row r="316" spans="1:60" ht="50.25" customHeight="1">
      <c r="A316" s="355">
        <f>SUBTOTAL(3,C$11:$C316)</f>
        <v>219</v>
      </c>
      <c r="B316" s="201" t="s">
        <v>774</v>
      </c>
      <c r="C316" s="350" t="s">
        <v>56</v>
      </c>
      <c r="D316" s="339">
        <v>19.2</v>
      </c>
      <c r="E316" s="339"/>
      <c r="F316" s="339">
        <v>19.2</v>
      </c>
      <c r="G316" s="414">
        <f t="shared" si="41"/>
        <v>19.200780999999999</v>
      </c>
      <c r="H316" s="413" t="s">
        <v>1016</v>
      </c>
      <c r="I316" s="413" t="s">
        <v>1062</v>
      </c>
      <c r="J316" s="413" t="s">
        <v>1018</v>
      </c>
      <c r="K316" s="413" t="str">
        <f t="shared" si="45"/>
        <v xml:space="preserve">CLN, NTS, ONT, SON, </v>
      </c>
      <c r="L316" s="413" t="str">
        <f t="shared" si="42"/>
        <v>CLN:9,555224;NTS:6,0222;ONT:1,415217;SON:2,20814;</v>
      </c>
      <c r="M316" s="339"/>
      <c r="N316" s="339"/>
      <c r="O316" s="339"/>
      <c r="P316" s="339">
        <f>9.52*100.37%</f>
        <v>9.5552239999999991</v>
      </c>
      <c r="Q316" s="339">
        <f>6*100.37%</f>
        <v>6.0221999999999998</v>
      </c>
      <c r="R316" s="339"/>
      <c r="S316" s="339"/>
      <c r="T316" s="339"/>
      <c r="U316" s="339"/>
      <c r="V316" s="339"/>
      <c r="W316" s="339"/>
      <c r="X316" s="339"/>
      <c r="Y316" s="339"/>
      <c r="Z316" s="339"/>
      <c r="AA316" s="339"/>
      <c r="AB316" s="339"/>
      <c r="AC316" s="339"/>
      <c r="AD316" s="339"/>
      <c r="AE316" s="339"/>
      <c r="AF316" s="339"/>
      <c r="AG316" s="339"/>
      <c r="AH316" s="339"/>
      <c r="AI316" s="339"/>
      <c r="AJ316" s="339"/>
      <c r="AK316" s="339"/>
      <c r="AL316" s="339">
        <f>1.41*100.37%</f>
        <v>1.4152169999999999</v>
      </c>
      <c r="AM316" s="339"/>
      <c r="AN316" s="339"/>
      <c r="AO316" s="339"/>
      <c r="AP316" s="339"/>
      <c r="AQ316" s="339">
        <f>2.2*100.37%</f>
        <v>2.2081400000000002</v>
      </c>
      <c r="AR316" s="339"/>
      <c r="AS316" s="339"/>
      <c r="AT316" s="339"/>
      <c r="AU316" s="339"/>
      <c r="AV316" s="338" t="s">
        <v>318</v>
      </c>
      <c r="AW316" s="338" t="s">
        <v>318</v>
      </c>
      <c r="AX316" s="350" t="s">
        <v>319</v>
      </c>
      <c r="AY316" s="356" t="s">
        <v>319</v>
      </c>
      <c r="AZ316" s="352" t="s">
        <v>1491</v>
      </c>
      <c r="BA316" s="350"/>
      <c r="BB316" s="350"/>
      <c r="BC316" s="195" t="s">
        <v>316</v>
      </c>
      <c r="BD316" s="195"/>
      <c r="BE316" s="195"/>
      <c r="BF316" s="195" t="s">
        <v>263</v>
      </c>
      <c r="BG316" s="195"/>
      <c r="BH316" s="350"/>
    </row>
    <row r="317" spans="1:60" ht="50.25" customHeight="1">
      <c r="A317" s="355">
        <f>SUBTOTAL(3,C$11:$C317)</f>
        <v>220</v>
      </c>
      <c r="B317" s="201" t="s">
        <v>775</v>
      </c>
      <c r="C317" s="350" t="s">
        <v>56</v>
      </c>
      <c r="D317" s="339">
        <v>109.68</v>
      </c>
      <c r="E317" s="339"/>
      <c r="F317" s="339">
        <v>109.68</v>
      </c>
      <c r="G317" s="414">
        <f t="shared" si="41"/>
        <v>61.220848000000004</v>
      </c>
      <c r="H317" s="413" t="s">
        <v>1016</v>
      </c>
      <c r="I317" s="413" t="s">
        <v>1492</v>
      </c>
      <c r="J317" s="413" t="s">
        <v>1018</v>
      </c>
      <c r="K317" s="413" t="str">
        <f t="shared" si="45"/>
        <v xml:space="preserve">CLN, NTS, DGT, ONT, </v>
      </c>
      <c r="L317" s="413" t="str">
        <f t="shared" si="42"/>
        <v>CLN:2,6358;NTS:45,230328;DGT:6,32592;ONT:7,0288;</v>
      </c>
      <c r="M317" s="339"/>
      <c r="N317" s="339"/>
      <c r="O317" s="339"/>
      <c r="P317" s="339">
        <f>3*87.86%</f>
        <v>2.6358000000000001</v>
      </c>
      <c r="Q317" s="339">
        <f>51.48*87.86%</f>
        <v>45.230328</v>
      </c>
      <c r="R317" s="339"/>
      <c r="S317" s="339"/>
      <c r="T317" s="339"/>
      <c r="U317" s="339"/>
      <c r="V317" s="339"/>
      <c r="W317" s="339">
        <f>7.2*87.86%</f>
        <v>6.3259200000000009</v>
      </c>
      <c r="X317" s="339"/>
      <c r="Y317" s="339"/>
      <c r="Z317" s="339"/>
      <c r="AA317" s="339"/>
      <c r="AB317" s="339"/>
      <c r="AC317" s="339"/>
      <c r="AD317" s="339"/>
      <c r="AE317" s="339"/>
      <c r="AF317" s="339"/>
      <c r="AG317" s="339"/>
      <c r="AH317" s="339"/>
      <c r="AI317" s="339"/>
      <c r="AJ317" s="339"/>
      <c r="AK317" s="339"/>
      <c r="AL317" s="339">
        <f>8*87.86%</f>
        <v>7.0288000000000004</v>
      </c>
      <c r="AM317" s="339"/>
      <c r="AN317" s="339"/>
      <c r="AO317" s="339"/>
      <c r="AP317" s="339"/>
      <c r="AQ317" s="339"/>
      <c r="AR317" s="339"/>
      <c r="AS317" s="339"/>
      <c r="AT317" s="339"/>
      <c r="AU317" s="339"/>
      <c r="AV317" s="338" t="s">
        <v>318</v>
      </c>
      <c r="AW317" s="338" t="s">
        <v>318</v>
      </c>
      <c r="AX317" s="350" t="s">
        <v>1493</v>
      </c>
      <c r="AY317" s="356" t="s">
        <v>1493</v>
      </c>
      <c r="AZ317" s="352" t="s">
        <v>1494</v>
      </c>
      <c r="BA317" s="350" t="s">
        <v>777</v>
      </c>
      <c r="BB317" s="350"/>
      <c r="BC317" s="195" t="s">
        <v>316</v>
      </c>
      <c r="BD317" s="195"/>
      <c r="BE317" s="195"/>
      <c r="BF317" s="195"/>
      <c r="BG317" s="195" t="s">
        <v>263</v>
      </c>
      <c r="BH317" s="350"/>
    </row>
    <row r="318" spans="1:60" ht="48.75" customHeight="1">
      <c r="A318" s="355">
        <f>SUBTOTAL(3,C$11:$C318)</f>
        <v>221</v>
      </c>
      <c r="B318" s="201" t="s">
        <v>742</v>
      </c>
      <c r="C318" s="350" t="s">
        <v>56</v>
      </c>
      <c r="D318" s="339">
        <v>163</v>
      </c>
      <c r="E318" s="339"/>
      <c r="F318" s="339">
        <v>163</v>
      </c>
      <c r="G318" s="414">
        <f t="shared" si="41"/>
        <v>86.210599999999985</v>
      </c>
      <c r="H318" s="413" t="s">
        <v>1016</v>
      </c>
      <c r="I318" s="413" t="s">
        <v>1495</v>
      </c>
      <c r="J318" s="413" t="s">
        <v>1496</v>
      </c>
      <c r="K318" s="413" t="str">
        <f t="shared" si="45"/>
        <v xml:space="preserve">LUK, CLN, NTS, DGT, NTD, ONT, </v>
      </c>
      <c r="L318" s="413" t="str">
        <f t="shared" si="42"/>
        <v>LUK:0,74543;CLN:0,74543;NTS:79,125774;DGT:0,9723;NTD:0,084266;ONT:4,5374;</v>
      </c>
      <c r="M318" s="339"/>
      <c r="N318" s="339">
        <f>1.15*64.82%</f>
        <v>0.74542999999999981</v>
      </c>
      <c r="O318" s="339"/>
      <c r="P318" s="339">
        <f>1.15*64.82%</f>
        <v>0.74542999999999981</v>
      </c>
      <c r="Q318" s="339">
        <f>122.07*64.82%</f>
        <v>79.125773999999979</v>
      </c>
      <c r="R318" s="339"/>
      <c r="S318" s="339"/>
      <c r="T318" s="339"/>
      <c r="U318" s="339"/>
      <c r="V318" s="339"/>
      <c r="W318" s="339">
        <f>1.5*64.82%</f>
        <v>0.97229999999999983</v>
      </c>
      <c r="X318" s="339"/>
      <c r="Y318" s="339"/>
      <c r="Z318" s="339"/>
      <c r="AA318" s="339"/>
      <c r="AB318" s="339"/>
      <c r="AC318" s="339"/>
      <c r="AD318" s="339"/>
      <c r="AE318" s="339"/>
      <c r="AF318" s="339"/>
      <c r="AG318" s="339"/>
      <c r="AH318" s="339">
        <f>0.13*64.82%</f>
        <v>8.4265999999999994E-2</v>
      </c>
      <c r="AI318" s="339"/>
      <c r="AJ318" s="339"/>
      <c r="AK318" s="339"/>
      <c r="AL318" s="339">
        <f>7*64.82%</f>
        <v>4.537399999999999</v>
      </c>
      <c r="AM318" s="339"/>
      <c r="AN318" s="339"/>
      <c r="AO318" s="339"/>
      <c r="AP318" s="339"/>
      <c r="AQ318" s="339"/>
      <c r="AR318" s="339"/>
      <c r="AS318" s="339"/>
      <c r="AT318" s="339"/>
      <c r="AU318" s="339"/>
      <c r="AV318" s="338" t="s">
        <v>318</v>
      </c>
      <c r="AW318" s="338" t="s">
        <v>318</v>
      </c>
      <c r="AX318" s="350" t="s">
        <v>760</v>
      </c>
      <c r="AY318" s="356" t="s">
        <v>760</v>
      </c>
      <c r="AZ318" s="352" t="s">
        <v>1497</v>
      </c>
      <c r="BA318" s="350" t="s">
        <v>778</v>
      </c>
      <c r="BB318" s="350"/>
      <c r="BC318" s="195" t="s">
        <v>267</v>
      </c>
      <c r="BD318" s="195"/>
      <c r="BE318" s="195"/>
      <c r="BF318" s="195"/>
      <c r="BG318" s="195" t="s">
        <v>263</v>
      </c>
      <c r="BH318" s="350"/>
    </row>
    <row r="319" spans="1:60" ht="66" customHeight="1">
      <c r="A319" s="355">
        <f>SUBTOTAL(3,C$11:$C319)</f>
        <v>222</v>
      </c>
      <c r="B319" s="503" t="s">
        <v>779</v>
      </c>
      <c r="C319" s="432" t="s">
        <v>56</v>
      </c>
      <c r="D319" s="339">
        <v>55.81</v>
      </c>
      <c r="E319" s="339"/>
      <c r="F319" s="339">
        <v>55.81</v>
      </c>
      <c r="G319" s="414">
        <f t="shared" si="41"/>
        <v>47.49</v>
      </c>
      <c r="H319" s="413" t="s">
        <v>1498</v>
      </c>
      <c r="I319" s="413" t="s">
        <v>1499</v>
      </c>
      <c r="J319" s="413" t="s">
        <v>1500</v>
      </c>
      <c r="K319" s="413" t="str">
        <f t="shared" si="45"/>
        <v xml:space="preserve">CLN, NTS, SKC, DGT, NTD, </v>
      </c>
      <c r="L319" s="413" t="str">
        <f t="shared" si="42"/>
        <v>CLN:24,13;NTS:2,57;SKC:0,66;DGT:18,71;NTD:1,42;</v>
      </c>
      <c r="M319" s="339"/>
      <c r="N319" s="339"/>
      <c r="O319" s="339"/>
      <c r="P319" s="339">
        <v>24.13</v>
      </c>
      <c r="Q319" s="339">
        <v>2.57</v>
      </c>
      <c r="R319" s="339"/>
      <c r="S319" s="339"/>
      <c r="T319" s="339"/>
      <c r="U319" s="339"/>
      <c r="V319" s="339">
        <v>0.66</v>
      </c>
      <c r="W319" s="339">
        <v>18.71</v>
      </c>
      <c r="X319" s="339"/>
      <c r="Y319" s="339"/>
      <c r="Z319" s="339"/>
      <c r="AA319" s="339"/>
      <c r="AB319" s="339"/>
      <c r="AC319" s="339"/>
      <c r="AD319" s="339"/>
      <c r="AE319" s="339"/>
      <c r="AF319" s="339"/>
      <c r="AG319" s="339"/>
      <c r="AH319" s="339">
        <v>1.42</v>
      </c>
      <c r="AI319" s="339"/>
      <c r="AJ319" s="339"/>
      <c r="AK319" s="339"/>
      <c r="AL319" s="339"/>
      <c r="AM319" s="339"/>
      <c r="AN319" s="339"/>
      <c r="AO319" s="339"/>
      <c r="AP319" s="339"/>
      <c r="AQ319" s="339"/>
      <c r="AR319" s="339"/>
      <c r="AS319" s="339"/>
      <c r="AT319" s="339"/>
      <c r="AU319" s="339"/>
      <c r="AV319" s="338" t="s">
        <v>318</v>
      </c>
      <c r="AW319" s="338" t="s">
        <v>318</v>
      </c>
      <c r="AX319" s="350" t="s">
        <v>760</v>
      </c>
      <c r="AY319" s="356" t="s">
        <v>760</v>
      </c>
      <c r="AZ319" s="352" t="s">
        <v>1501</v>
      </c>
      <c r="BA319" s="350" t="s">
        <v>780</v>
      </c>
      <c r="BB319" s="350"/>
      <c r="BC319" s="195" t="s">
        <v>267</v>
      </c>
      <c r="BD319" s="195"/>
      <c r="BE319" s="195"/>
      <c r="BF319" s="195"/>
      <c r="BG319" s="195" t="s">
        <v>263</v>
      </c>
      <c r="BH319" s="350"/>
    </row>
    <row r="320" spans="1:60" ht="48.75" customHeight="1">
      <c r="A320" s="355">
        <f>SUBTOTAL(3,C$11:$C320)</f>
        <v>223</v>
      </c>
      <c r="B320" s="345" t="s">
        <v>779</v>
      </c>
      <c r="C320" s="346" t="s">
        <v>56</v>
      </c>
      <c r="D320" s="339">
        <v>36.69</v>
      </c>
      <c r="E320" s="339"/>
      <c r="F320" s="339">
        <v>36.69</v>
      </c>
      <c r="G320" s="414">
        <f t="shared" si="41"/>
        <v>28.378378378378379</v>
      </c>
      <c r="H320" s="413" t="s">
        <v>1138</v>
      </c>
      <c r="I320" s="413" t="s">
        <v>1502</v>
      </c>
      <c r="J320" s="413" t="s">
        <v>1503</v>
      </c>
      <c r="K320" s="413" t="str">
        <f t="shared" si="45"/>
        <v xml:space="preserve">HNK, NTS, DGT, NTD, </v>
      </c>
      <c r="L320" s="413" t="str">
        <f t="shared" si="42"/>
        <v>HNK:12,2352081811541;NTS:11,2856099342586;DGT:4,41928414901388;NTD:0,43827611395179;</v>
      </c>
      <c r="M320" s="339"/>
      <c r="N320" s="339"/>
      <c r="O320" s="339">
        <f>3.35/27.38%</f>
        <v>12.235208181154128</v>
      </c>
      <c r="P320" s="339"/>
      <c r="Q320" s="339">
        <f>3.09/27.38%</f>
        <v>11.285609934258582</v>
      </c>
      <c r="R320" s="339"/>
      <c r="S320" s="339"/>
      <c r="T320" s="339"/>
      <c r="U320" s="339"/>
      <c r="V320" s="339"/>
      <c r="W320" s="339">
        <f>1.21/27.38%</f>
        <v>4.4192841490138788</v>
      </c>
      <c r="X320" s="339"/>
      <c r="Y320" s="339"/>
      <c r="Z320" s="339"/>
      <c r="AA320" s="339"/>
      <c r="AB320" s="339"/>
      <c r="AC320" s="339"/>
      <c r="AD320" s="339"/>
      <c r="AE320" s="339"/>
      <c r="AF320" s="339"/>
      <c r="AG320" s="339"/>
      <c r="AH320" s="339">
        <f>0.12/27.38%</f>
        <v>0.43827611395178961</v>
      </c>
      <c r="AI320" s="339"/>
      <c r="AJ320" s="339"/>
      <c r="AK320" s="339"/>
      <c r="AL320" s="339"/>
      <c r="AM320" s="339"/>
      <c r="AN320" s="339"/>
      <c r="AO320" s="339"/>
      <c r="AP320" s="339"/>
      <c r="AQ320" s="339"/>
      <c r="AR320" s="339"/>
      <c r="AS320" s="339"/>
      <c r="AT320" s="339"/>
      <c r="AU320" s="339"/>
      <c r="AV320" s="338" t="s">
        <v>318</v>
      </c>
      <c r="AW320" s="338" t="s">
        <v>318</v>
      </c>
      <c r="AX320" s="350" t="s">
        <v>760</v>
      </c>
      <c r="AY320" s="356" t="s">
        <v>760</v>
      </c>
      <c r="AZ320" s="352" t="s">
        <v>1504</v>
      </c>
      <c r="BA320" s="350" t="s">
        <v>781</v>
      </c>
      <c r="BB320" s="350"/>
      <c r="BC320" s="195" t="s">
        <v>267</v>
      </c>
      <c r="BD320" s="195"/>
      <c r="BE320" s="195"/>
      <c r="BF320" s="195"/>
      <c r="BG320" s="195" t="s">
        <v>263</v>
      </c>
      <c r="BH320" s="350"/>
    </row>
    <row r="321" spans="1:60" ht="66.75" customHeight="1">
      <c r="A321" s="348">
        <f>SUBTOTAL(3,C$11:$C321)</f>
        <v>224</v>
      </c>
      <c r="B321" s="345" t="s">
        <v>782</v>
      </c>
      <c r="C321" s="349" t="s">
        <v>56</v>
      </c>
      <c r="D321" s="347">
        <v>227</v>
      </c>
      <c r="E321" s="357"/>
      <c r="F321" s="347">
        <v>227</v>
      </c>
      <c r="G321" s="414">
        <f t="shared" si="41"/>
        <v>123.59</v>
      </c>
      <c r="H321" s="413" t="s">
        <v>1505</v>
      </c>
      <c r="I321" s="413" t="s">
        <v>1506</v>
      </c>
      <c r="J321" s="413" t="s">
        <v>1507</v>
      </c>
      <c r="K321" s="413" t="str">
        <f t="shared" si="45"/>
        <v xml:space="preserve">HNK, CLN, NTS, NTD, ONT, TIN, </v>
      </c>
      <c r="L321" s="413" t="str">
        <f t="shared" si="42"/>
        <v>HNK:2,12;CLN:47,16;NTS:49,11;NTD:0,04;ONT:25;TIN:0,16;</v>
      </c>
      <c r="M321" s="339"/>
      <c r="N321" s="339"/>
      <c r="O321" s="339">
        <v>2.12</v>
      </c>
      <c r="P321" s="339">
        <v>47.160000000000004</v>
      </c>
      <c r="Q321" s="339">
        <v>49.11</v>
      </c>
      <c r="R321" s="339"/>
      <c r="S321" s="339"/>
      <c r="T321" s="339"/>
      <c r="U321" s="339"/>
      <c r="V321" s="339"/>
      <c r="W321" s="339"/>
      <c r="X321" s="339"/>
      <c r="Y321" s="339"/>
      <c r="Z321" s="339"/>
      <c r="AA321" s="339"/>
      <c r="AB321" s="339"/>
      <c r="AC321" s="339"/>
      <c r="AD321" s="339"/>
      <c r="AE321" s="339"/>
      <c r="AF321" s="339"/>
      <c r="AG321" s="339"/>
      <c r="AH321" s="339">
        <v>0.04</v>
      </c>
      <c r="AI321" s="339"/>
      <c r="AJ321" s="339"/>
      <c r="AK321" s="339"/>
      <c r="AL321" s="339">
        <v>25</v>
      </c>
      <c r="AM321" s="339"/>
      <c r="AN321" s="339"/>
      <c r="AO321" s="339"/>
      <c r="AP321" s="339">
        <v>0.16</v>
      </c>
      <c r="AQ321" s="339"/>
      <c r="AR321" s="339"/>
      <c r="AS321" s="339"/>
      <c r="AT321" s="339"/>
      <c r="AU321" s="339"/>
      <c r="AV321" s="346" t="s">
        <v>318</v>
      </c>
      <c r="AW321" s="346" t="s">
        <v>318</v>
      </c>
      <c r="AX321" s="350" t="s">
        <v>415</v>
      </c>
      <c r="AY321" s="356" t="s">
        <v>415</v>
      </c>
      <c r="AZ321" s="352" t="s">
        <v>1508</v>
      </c>
      <c r="BA321" s="350"/>
      <c r="BB321" s="350"/>
      <c r="BC321" s="195" t="s">
        <v>316</v>
      </c>
      <c r="BD321" s="195"/>
      <c r="BE321" s="195"/>
      <c r="BF321" s="195" t="s">
        <v>263</v>
      </c>
      <c r="BG321" s="195"/>
      <c r="BH321" s="350"/>
    </row>
    <row r="322" spans="1:60" ht="57">
      <c r="A322" s="344">
        <f>SUBTOTAL(3,C$11:$C322)</f>
        <v>225</v>
      </c>
      <c r="B322" s="345" t="s">
        <v>742</v>
      </c>
      <c r="C322" s="346" t="s">
        <v>56</v>
      </c>
      <c r="D322" s="339">
        <v>114</v>
      </c>
      <c r="E322" s="339"/>
      <c r="F322" s="339">
        <v>114</v>
      </c>
      <c r="G322" s="414">
        <f t="shared" si="41"/>
        <v>71.351162999999985</v>
      </c>
      <c r="H322" s="413" t="s">
        <v>1138</v>
      </c>
      <c r="I322" s="413" t="s">
        <v>1509</v>
      </c>
      <c r="J322" s="413" t="s">
        <v>1503</v>
      </c>
      <c r="K322" s="413" t="str">
        <f t="shared" si="45"/>
        <v xml:space="preserve">CLN, NTS, DGT, ONT, SON, </v>
      </c>
      <c r="L322" s="413" t="str">
        <f t="shared" si="42"/>
        <v>CLN:5,97265;NTS:39,035983;DGT:2,13758;ONT:4,71525;SON:19,4897;</v>
      </c>
      <c r="M322" s="339"/>
      <c r="N322" s="339"/>
      <c r="O322" s="339"/>
      <c r="P322" s="339">
        <f>9.5*62.87%</f>
        <v>5.9726499999999989</v>
      </c>
      <c r="Q322" s="339">
        <f>62.09*62.87%</f>
        <v>39.035982999999995</v>
      </c>
      <c r="R322" s="339"/>
      <c r="S322" s="339"/>
      <c r="T322" s="339"/>
      <c r="U322" s="339"/>
      <c r="V322" s="339"/>
      <c r="W322" s="339">
        <f>3.4*62.87%</f>
        <v>2.1375799999999998</v>
      </c>
      <c r="X322" s="339"/>
      <c r="Y322" s="339"/>
      <c r="Z322" s="339"/>
      <c r="AA322" s="339"/>
      <c r="AB322" s="339"/>
      <c r="AC322" s="339"/>
      <c r="AD322" s="339"/>
      <c r="AE322" s="339"/>
      <c r="AF322" s="339"/>
      <c r="AG322" s="339"/>
      <c r="AH322" s="339"/>
      <c r="AI322" s="339"/>
      <c r="AJ322" s="339"/>
      <c r="AK322" s="339"/>
      <c r="AL322" s="339">
        <f>7.5*62.87%</f>
        <v>4.7152499999999993</v>
      </c>
      <c r="AM322" s="339"/>
      <c r="AN322" s="339"/>
      <c r="AO322" s="339"/>
      <c r="AP322" s="339"/>
      <c r="AQ322" s="339">
        <f>31*62.87%</f>
        <v>19.489699999999999</v>
      </c>
      <c r="AR322" s="339"/>
      <c r="AS322" s="339"/>
      <c r="AT322" s="339"/>
      <c r="AU322" s="339"/>
      <c r="AV322" s="338" t="s">
        <v>318</v>
      </c>
      <c r="AW322" s="338" t="s">
        <v>318</v>
      </c>
      <c r="AX322" s="350" t="s">
        <v>776</v>
      </c>
      <c r="AY322" s="356" t="s">
        <v>776</v>
      </c>
      <c r="AZ322" s="352" t="s">
        <v>1510</v>
      </c>
      <c r="BA322" s="350" t="s">
        <v>784</v>
      </c>
      <c r="BB322" s="350"/>
      <c r="BC322" s="195" t="s">
        <v>267</v>
      </c>
      <c r="BD322" s="195"/>
      <c r="BE322" s="195"/>
      <c r="BF322" s="195"/>
      <c r="BG322" s="195" t="s">
        <v>263</v>
      </c>
      <c r="BH322" s="350"/>
    </row>
    <row r="323" spans="1:60" ht="45" customHeight="1">
      <c r="A323" s="344">
        <f>SUBTOTAL(3,C$11:$C323)</f>
        <v>226</v>
      </c>
      <c r="B323" s="337" t="s">
        <v>785</v>
      </c>
      <c r="C323" s="338" t="s">
        <v>56</v>
      </c>
      <c r="D323" s="339">
        <v>10.4</v>
      </c>
      <c r="E323" s="339"/>
      <c r="F323" s="339">
        <v>10.4</v>
      </c>
      <c r="G323" s="414">
        <f t="shared" si="41"/>
        <v>10.4</v>
      </c>
      <c r="H323" s="413" t="s">
        <v>1016</v>
      </c>
      <c r="I323" s="413" t="s">
        <v>1118</v>
      </c>
      <c r="J323" s="413" t="s">
        <v>1018</v>
      </c>
      <c r="K323" s="413" t="str">
        <f t="shared" si="45"/>
        <v xml:space="preserve">LUC, HNK, ONT, </v>
      </c>
      <c r="L323" s="413" t="str">
        <f t="shared" si="42"/>
        <v>LUC:8,3;HNK:1;ONT:1,1;</v>
      </c>
      <c r="M323" s="339">
        <v>8.3000000000000007</v>
      </c>
      <c r="N323" s="339"/>
      <c r="O323" s="339">
        <v>1</v>
      </c>
      <c r="P323" s="339"/>
      <c r="Q323" s="339"/>
      <c r="R323" s="339"/>
      <c r="S323" s="339"/>
      <c r="T323" s="339"/>
      <c r="U323" s="339"/>
      <c r="V323" s="339"/>
      <c r="W323" s="339"/>
      <c r="X323" s="339"/>
      <c r="Y323" s="339"/>
      <c r="Z323" s="339"/>
      <c r="AA323" s="339"/>
      <c r="AB323" s="339"/>
      <c r="AC323" s="339"/>
      <c r="AD323" s="339"/>
      <c r="AE323" s="339"/>
      <c r="AF323" s="339"/>
      <c r="AG323" s="339"/>
      <c r="AH323" s="339"/>
      <c r="AI323" s="339"/>
      <c r="AJ323" s="339"/>
      <c r="AK323" s="339"/>
      <c r="AL323" s="339">
        <v>1.1000000000000001</v>
      </c>
      <c r="AM323" s="339"/>
      <c r="AN323" s="339"/>
      <c r="AO323" s="339"/>
      <c r="AP323" s="339"/>
      <c r="AQ323" s="339"/>
      <c r="AR323" s="339"/>
      <c r="AS323" s="339"/>
      <c r="AT323" s="339"/>
      <c r="AU323" s="339"/>
      <c r="AV323" s="338" t="s">
        <v>277</v>
      </c>
      <c r="AW323" s="338" t="s">
        <v>277</v>
      </c>
      <c r="AX323" s="350" t="s">
        <v>335</v>
      </c>
      <c r="AY323" s="356" t="s">
        <v>335</v>
      </c>
      <c r="AZ323" s="352" t="s">
        <v>1511</v>
      </c>
      <c r="BA323" s="350"/>
      <c r="BB323" s="350"/>
      <c r="BC323" s="195" t="s">
        <v>267</v>
      </c>
      <c r="BD323" s="195"/>
      <c r="BE323" s="195"/>
      <c r="BF323" s="195" t="s">
        <v>263</v>
      </c>
      <c r="BG323" s="195"/>
      <c r="BH323" s="350"/>
    </row>
    <row r="324" spans="1:60" ht="48" customHeight="1">
      <c r="A324" s="344">
        <f>SUBTOTAL(3,C$11:$C324)</f>
        <v>227</v>
      </c>
      <c r="B324" s="362" t="s">
        <v>786</v>
      </c>
      <c r="C324" s="351" t="s">
        <v>56</v>
      </c>
      <c r="D324" s="339">
        <v>1.39</v>
      </c>
      <c r="E324" s="339"/>
      <c r="F324" s="339">
        <v>1.39</v>
      </c>
      <c r="G324" s="414">
        <f t="shared" si="41"/>
        <v>1.3900000000000001</v>
      </c>
      <c r="H324" s="413" t="s">
        <v>1512</v>
      </c>
      <c r="I324" s="413" t="s">
        <v>1513</v>
      </c>
      <c r="J324" s="413" t="s">
        <v>1514</v>
      </c>
      <c r="K324" s="413" t="str">
        <f t="shared" si="45"/>
        <v xml:space="preserve">TMD, ONT, SON, </v>
      </c>
      <c r="L324" s="413" t="str">
        <f t="shared" si="42"/>
        <v>TMD:0,04;ONT:1,1;SON:0,25;</v>
      </c>
      <c r="M324" s="339"/>
      <c r="N324" s="339"/>
      <c r="O324" s="339"/>
      <c r="P324" s="339"/>
      <c r="Q324" s="339"/>
      <c r="R324" s="339"/>
      <c r="S324" s="339"/>
      <c r="T324" s="339"/>
      <c r="U324" s="339">
        <v>0.04</v>
      </c>
      <c r="V324" s="339"/>
      <c r="W324" s="339"/>
      <c r="X324" s="339"/>
      <c r="Y324" s="339"/>
      <c r="Z324" s="339"/>
      <c r="AA324" s="339"/>
      <c r="AB324" s="339"/>
      <c r="AC324" s="339"/>
      <c r="AD324" s="339"/>
      <c r="AE324" s="339"/>
      <c r="AF324" s="339"/>
      <c r="AG324" s="339"/>
      <c r="AH324" s="339"/>
      <c r="AI324" s="339"/>
      <c r="AJ324" s="339"/>
      <c r="AK324" s="339"/>
      <c r="AL324" s="339">
        <v>1.1000000000000001</v>
      </c>
      <c r="AM324" s="339"/>
      <c r="AN324" s="339"/>
      <c r="AO324" s="339"/>
      <c r="AP324" s="339"/>
      <c r="AQ324" s="339">
        <v>0.25</v>
      </c>
      <c r="AR324" s="339"/>
      <c r="AS324" s="339"/>
      <c r="AT324" s="339"/>
      <c r="AU324" s="339"/>
      <c r="AV324" s="338" t="s">
        <v>277</v>
      </c>
      <c r="AW324" s="338" t="s">
        <v>277</v>
      </c>
      <c r="AX324" s="350" t="s">
        <v>787</v>
      </c>
      <c r="AY324" s="356" t="s">
        <v>787</v>
      </c>
      <c r="AZ324" s="352" t="s">
        <v>1515</v>
      </c>
      <c r="BA324" s="350"/>
      <c r="BB324" s="350"/>
      <c r="BC324" s="195" t="s">
        <v>267</v>
      </c>
      <c r="BD324" s="195"/>
      <c r="BE324" s="195"/>
      <c r="BF324" s="195" t="s">
        <v>263</v>
      </c>
      <c r="BG324" s="195"/>
      <c r="BH324" s="350"/>
    </row>
    <row r="325" spans="1:60" ht="18.75" customHeight="1">
      <c r="A325" s="595">
        <f>SUBTOTAL(3,C$11:$C325)</f>
        <v>228</v>
      </c>
      <c r="B325" s="625" t="s">
        <v>788</v>
      </c>
      <c r="C325" s="626" t="s">
        <v>56</v>
      </c>
      <c r="D325" s="612">
        <v>1145</v>
      </c>
      <c r="E325" s="612"/>
      <c r="F325" s="612">
        <v>1145</v>
      </c>
      <c r="G325" s="414">
        <f t="shared" si="41"/>
        <v>140.15</v>
      </c>
      <c r="H325" s="606" t="s">
        <v>1516</v>
      </c>
      <c r="I325" s="413" t="s">
        <v>1517</v>
      </c>
      <c r="J325" s="413"/>
      <c r="K325" s="413" t="str">
        <f t="shared" si="45"/>
        <v xml:space="preserve">LUC, LUK, HNK, CLN, NTS, TMD, DGT, ONT, SON, </v>
      </c>
      <c r="L325" s="413" t="str">
        <f t="shared" si="42"/>
        <v>LUC:74,86;LUK:15,47;HNK:12;CLN:2,37;NTS:8,64;TMD:0,37;DGT:2,13;ONT:18,66;SON:5,65;</v>
      </c>
      <c r="M325" s="339">
        <v>74.86</v>
      </c>
      <c r="N325" s="339">
        <v>15.47</v>
      </c>
      <c r="O325" s="339">
        <v>12</v>
      </c>
      <c r="P325" s="339">
        <v>2.37</v>
      </c>
      <c r="Q325" s="339">
        <v>8.64</v>
      </c>
      <c r="R325" s="339"/>
      <c r="S325" s="339"/>
      <c r="T325" s="339"/>
      <c r="U325" s="339">
        <v>0.37</v>
      </c>
      <c r="V325" s="339"/>
      <c r="W325" s="339">
        <v>2.13</v>
      </c>
      <c r="X325" s="339"/>
      <c r="Y325" s="339"/>
      <c r="Z325" s="339"/>
      <c r="AA325" s="339"/>
      <c r="AB325" s="339"/>
      <c r="AC325" s="339"/>
      <c r="AD325" s="339"/>
      <c r="AE325" s="339"/>
      <c r="AF325" s="339"/>
      <c r="AG325" s="339"/>
      <c r="AH325" s="339"/>
      <c r="AI325" s="339"/>
      <c r="AJ325" s="339"/>
      <c r="AK325" s="339"/>
      <c r="AL325" s="339">
        <v>18.659999999999997</v>
      </c>
      <c r="AM325" s="339"/>
      <c r="AN325" s="339"/>
      <c r="AO325" s="339"/>
      <c r="AP325" s="339"/>
      <c r="AQ325" s="339">
        <v>5.65</v>
      </c>
      <c r="AR325" s="339"/>
      <c r="AS325" s="339"/>
      <c r="AT325" s="339"/>
      <c r="AU325" s="339"/>
      <c r="AV325" s="614" t="s">
        <v>1518</v>
      </c>
      <c r="AW325" s="338" t="s">
        <v>286</v>
      </c>
      <c r="AX325" s="616" t="s">
        <v>1519</v>
      </c>
      <c r="AY325" s="356" t="s">
        <v>789</v>
      </c>
      <c r="AZ325" s="352" t="s">
        <v>1520</v>
      </c>
      <c r="BA325" s="350"/>
      <c r="BB325" s="350"/>
      <c r="BC325" s="627" t="s">
        <v>316</v>
      </c>
      <c r="BD325" s="341"/>
      <c r="BE325" s="341"/>
      <c r="BF325" s="341" t="s">
        <v>263</v>
      </c>
      <c r="BG325" s="341"/>
      <c r="BH325" s="350"/>
    </row>
    <row r="326" spans="1:60" ht="18.75" customHeight="1">
      <c r="A326" s="595"/>
      <c r="B326" s="625"/>
      <c r="C326" s="626"/>
      <c r="D326" s="612"/>
      <c r="E326" s="612"/>
      <c r="F326" s="612"/>
      <c r="G326" s="414">
        <f t="shared" si="41"/>
        <v>56.829999999999991</v>
      </c>
      <c r="H326" s="606"/>
      <c r="I326" s="413" t="s">
        <v>1521</v>
      </c>
      <c r="J326" s="413" t="s">
        <v>1018</v>
      </c>
      <c r="K326" s="413" t="str">
        <f>IF(M326&lt;&gt;0,$M$5&amp;", ",""+K:X)&amp;IF(N326&lt;&gt;0,$N$5&amp;", ","")&amp;IF(O326&lt;&gt;0,O$5&amp;", ","")&amp;IF(P326&lt;&gt;0,P$5&amp;", ","")&amp;IF(Q326&lt;&gt;0,Q$5&amp;", ","")&amp;IF(R326&lt;&gt;0,R$5&amp;", ","")&amp;IF(S326&lt;&gt;0,S$5&amp;", ","")&amp;IF(T326&lt;&gt;0,T$5&amp;", ","")&amp;IF(U326&lt;&gt;0,U$5&amp;", ","")&amp;IF(V326&lt;&gt;0,V$5&amp;", ","")&amp;IF(W326&lt;&gt;0,W$5&amp;", ","")&amp;IF(X326&lt;&gt;0,X$5&amp;", ","")&amp;IF(Y326&lt;&gt;0,Y$5&amp;", ","")&amp;IF(Z326&lt;&gt;0,Z$5&amp;", ","")&amp;IF(AA326&lt;&gt;0,AA$5&amp;", ","")&amp;IF(AB326&lt;&gt;0,AB$5&amp;", ","")&amp;IF(AC326&lt;&gt;0,AC$5&amp;", ","")&amp;IF(AD326&lt;&gt;0,AD$5&amp;", ","")&amp;IF(AE326&lt;&gt;0,AE$5&amp;", ","")&amp;IF(AF326&lt;&gt;0,AF$5&amp;", ","")&amp;IF(AG326&lt;&gt;0,AG$5&amp;", ","")&amp;IF(AH326&lt;&gt;0,AH$5&amp;", ","")&amp;IF(AI326&lt;&gt;0,AI$5&amp;", ","")&amp;IF(AJ326&lt;&gt;0,AJ$5&amp;", ","")&amp;IF(AK326&lt;&gt;0,AK$5&amp;", ","")&amp;IF(AL326&lt;&gt;0,AL$5&amp;", ","")&amp;IF(AM326&lt;&gt;0,AM$5&amp;", ","")&amp;IF(AN326&lt;&gt;0,AN$5&amp;", ","")&amp;IF(AO326&lt;&gt;0,AO$5&amp;", ","")&amp;IF(AP326&lt;&gt;0,AP$5&amp;", ","")&amp;IF(AQ326&lt;&gt;0,AQ$5&amp;", ","")&amp;IF(AR326&lt;&gt;0,AR$5,"")&amp;IF(AS326&lt;&gt;0,AS$5,"")&amp;IF(AT326&lt;&gt;0,AT$5,"")&amp;IF(AU326&lt;&gt;0,AU$5,"")</f>
        <v xml:space="preserve">LUC, LUK, CLN, NTS, DGT, NTD, ONT, SON, </v>
      </c>
      <c r="L326" s="413" t="str">
        <f t="shared" si="42"/>
        <v>LUC:29,73;LUK:11,53;CLN:4,38;NTS:3,24;DGT:0,16;NTD:0,04;ONT:5,83;SON:1,92;</v>
      </c>
      <c r="M326" s="339">
        <v>29.73</v>
      </c>
      <c r="N326" s="339">
        <v>11.529999999999994</v>
      </c>
      <c r="O326" s="339"/>
      <c r="P326" s="339">
        <v>4.38</v>
      </c>
      <c r="Q326" s="339">
        <v>3.24</v>
      </c>
      <c r="R326" s="339"/>
      <c r="S326" s="339"/>
      <c r="T326" s="339"/>
      <c r="U326" s="339"/>
      <c r="V326" s="339"/>
      <c r="W326" s="339">
        <v>0.16</v>
      </c>
      <c r="X326" s="339"/>
      <c r="Y326" s="339"/>
      <c r="Z326" s="339"/>
      <c r="AA326" s="339"/>
      <c r="AB326" s="339"/>
      <c r="AC326" s="339"/>
      <c r="AD326" s="339"/>
      <c r="AE326" s="339"/>
      <c r="AF326" s="339"/>
      <c r="AG326" s="339"/>
      <c r="AH326" s="339">
        <v>0.04</v>
      </c>
      <c r="AI326" s="339"/>
      <c r="AJ326" s="339"/>
      <c r="AK326" s="339"/>
      <c r="AL326" s="339">
        <v>5.83</v>
      </c>
      <c r="AM326" s="339"/>
      <c r="AN326" s="339"/>
      <c r="AO326" s="339"/>
      <c r="AP326" s="339"/>
      <c r="AQ326" s="339">
        <v>1.92</v>
      </c>
      <c r="AR326" s="339"/>
      <c r="AS326" s="339"/>
      <c r="AT326" s="339"/>
      <c r="AU326" s="339"/>
      <c r="AV326" s="614"/>
      <c r="AW326" s="338" t="s">
        <v>295</v>
      </c>
      <c r="AX326" s="616"/>
      <c r="AY326" s="356" t="s">
        <v>332</v>
      </c>
      <c r="AZ326" s="352" t="s">
        <v>1522</v>
      </c>
      <c r="BA326" s="350"/>
      <c r="BB326" s="350"/>
      <c r="BC326" s="632"/>
      <c r="BD326" s="342"/>
      <c r="BE326" s="342"/>
      <c r="BF326" s="342" t="s">
        <v>263</v>
      </c>
      <c r="BG326" s="342"/>
      <c r="BH326" s="350"/>
    </row>
    <row r="327" spans="1:60" ht="18.75" customHeight="1">
      <c r="A327" s="595"/>
      <c r="B327" s="625"/>
      <c r="C327" s="626"/>
      <c r="D327" s="612"/>
      <c r="E327" s="612"/>
      <c r="F327" s="612"/>
      <c r="G327" s="414">
        <f t="shared" si="41"/>
        <v>429.00999999999993</v>
      </c>
      <c r="H327" s="606"/>
      <c r="I327" s="413" t="s">
        <v>1521</v>
      </c>
      <c r="J327" s="413" t="s">
        <v>1523</v>
      </c>
      <c r="K327" s="413" t="str">
        <f>IF(M327&lt;&gt;0,$M$5&amp;", ","")&amp;IF(N327&lt;&gt;0,$N$5&amp;", ","")&amp;IF(O327&lt;&gt;0,O$5&amp;", ","")&amp;IF(P327&lt;&gt;0,P$5&amp;", ","")&amp;IF(Q327&lt;&gt;0,Q$5&amp;", ","")&amp;IF(R327&lt;&gt;0,R$5&amp;", ","")&amp;IF(S327&lt;&gt;0,S$5&amp;", ","")&amp;IF(T327&lt;&gt;0,T$5&amp;", ","")&amp;IF(U327&lt;&gt;0,U$5&amp;", ","")&amp;IF(V327&lt;&gt;0,V$5&amp;", ","")&amp;IF(W327&lt;&gt;0,W$5&amp;", ","")&amp;IF(X327&lt;&gt;0,X$5&amp;", ","")&amp;IF(Y327&lt;&gt;0,Y$5&amp;", ","")&amp;IF(Z327&lt;&gt;0,Z$5&amp;", ","")&amp;IF(AA327&lt;&gt;0,AA$5&amp;", ","")&amp;IF(AB327&lt;&gt;0,AB$5&amp;", ","")&amp;IF(AC327&lt;&gt;0,AC$5&amp;", ","")&amp;IF(AD327&lt;&gt;0,AD$5&amp;", ","")&amp;IF(AE327&lt;&gt;0,AE$5&amp;", ","")&amp;IF(AF327&lt;&gt;0,AF$5&amp;", ","")&amp;IF(AG327&lt;&gt;0,AG$5&amp;", ","")&amp;IF(AH327&lt;&gt;0,AH$5&amp;", ","")&amp;IF(AI327&lt;&gt;0,AI$5&amp;", ","")&amp;IF(AJ327&lt;&gt;0,AJ$5&amp;", ","")&amp;IF(AK327&lt;&gt;0,AK$5&amp;", ","")&amp;IF(AL327&lt;&gt;0,AL$5&amp;", ","")&amp;IF(AM327&lt;&gt;0,AM$5&amp;", ","")&amp;IF(AN327&lt;&gt;0,AN$5&amp;", ","")&amp;IF(AO327&lt;&gt;0,AO$5&amp;", ","")&amp;IF(AP327&lt;&gt;0,AP$5&amp;", ","")&amp;IF(AQ327&lt;&gt;0,AQ$5&amp;", ","")&amp;IF(AR327&lt;&gt;0,AR$5,"")&amp;IF(AS327&lt;&gt;0,AS$5,"")&amp;IF(AT327&lt;&gt;0,AT$5,"")&amp;IF(AU327&lt;&gt;0,AU$5,"")</f>
        <v xml:space="preserve">LUC, LUK, CLN, NTS, DGT, NTD, ONT, SON, </v>
      </c>
      <c r="L327" s="413" t="str">
        <f t="shared" si="42"/>
        <v>LUC:320,7;LUK:2,84;CLN:9,89;NTS:16,38;DGT:5,84;NTD:3,41;ONT:41,49;SON:28,46;</v>
      </c>
      <c r="M327" s="339">
        <v>320.7</v>
      </c>
      <c r="N327" s="339">
        <v>2.84</v>
      </c>
      <c r="O327" s="339"/>
      <c r="P327" s="339">
        <v>9.89</v>
      </c>
      <c r="Q327" s="339">
        <v>16.38</v>
      </c>
      <c r="R327" s="339"/>
      <c r="S327" s="339"/>
      <c r="T327" s="339"/>
      <c r="U327" s="339"/>
      <c r="V327" s="339"/>
      <c r="W327" s="339">
        <v>5.84</v>
      </c>
      <c r="X327" s="339"/>
      <c r="Y327" s="339"/>
      <c r="Z327" s="339"/>
      <c r="AA327" s="339"/>
      <c r="AB327" s="339"/>
      <c r="AC327" s="339"/>
      <c r="AD327" s="339"/>
      <c r="AE327" s="339"/>
      <c r="AF327" s="339"/>
      <c r="AG327" s="339"/>
      <c r="AH327" s="339">
        <v>3.41</v>
      </c>
      <c r="AI327" s="339"/>
      <c r="AJ327" s="339"/>
      <c r="AK327" s="339"/>
      <c r="AL327" s="339">
        <v>41.489999999999995</v>
      </c>
      <c r="AM327" s="339"/>
      <c r="AN327" s="339"/>
      <c r="AO327" s="339"/>
      <c r="AP327" s="339"/>
      <c r="AQ327" s="339">
        <v>28.46</v>
      </c>
      <c r="AR327" s="339"/>
      <c r="AS327" s="339"/>
      <c r="AT327" s="339"/>
      <c r="AU327" s="339"/>
      <c r="AV327" s="614"/>
      <c r="AW327" s="338" t="s">
        <v>790</v>
      </c>
      <c r="AX327" s="616"/>
      <c r="AY327" s="260" t="s">
        <v>1442</v>
      </c>
      <c r="AZ327" s="181" t="s">
        <v>1524</v>
      </c>
      <c r="BA327" s="351"/>
      <c r="BB327" s="351"/>
      <c r="BC327" s="632"/>
      <c r="BD327" s="342"/>
      <c r="BE327" s="342"/>
      <c r="BF327" s="342" t="s">
        <v>263</v>
      </c>
      <c r="BG327" s="342"/>
      <c r="BH327" s="351"/>
    </row>
    <row r="328" spans="1:60" ht="18.75" customHeight="1">
      <c r="A328" s="595"/>
      <c r="B328" s="625"/>
      <c r="C328" s="626"/>
      <c r="D328" s="612"/>
      <c r="E328" s="612"/>
      <c r="F328" s="612"/>
      <c r="G328" s="414">
        <f t="shared" si="41"/>
        <v>271.48380999999995</v>
      </c>
      <c r="H328" s="606"/>
      <c r="I328" s="413" t="s">
        <v>1525</v>
      </c>
      <c r="J328" s="413" t="s">
        <v>1526</v>
      </c>
      <c r="K328" s="413" t="str">
        <f>IF(M328&lt;&gt;0,$M$5&amp;", ","")&amp;IF(N328&lt;&gt;0,$N$5&amp;", ","")&amp;IF(O328&lt;&gt;0,O$5&amp;", ","")&amp;IF(P328&lt;&gt;0,P$5&amp;", ","")&amp;IF(Q328&lt;&gt;0,Q$5&amp;", ","")&amp;IF(R328&lt;&gt;0,R$5&amp;", ","")&amp;IF(S328&lt;&gt;0,S$5&amp;", ","")&amp;IF(T328&lt;&gt;0,T$5&amp;", ","")&amp;IF(U328&lt;&gt;0,U$5&amp;", ","")&amp;IF(V328&lt;&gt;0,V$5&amp;", ","")&amp;IF(W328&lt;&gt;0,W$5&amp;", ","")&amp;IF(X328&lt;&gt;0,X$5&amp;", ","")&amp;IF(Y328&lt;&gt;0,Y$5&amp;", ","")&amp;IF(Z328&lt;&gt;0,Z$5&amp;", ","")&amp;IF(AA328&lt;&gt;0,AA$5&amp;", ","")&amp;IF(AB328&lt;&gt;0,AB$5&amp;", ","")&amp;IF(AC328&lt;&gt;0,AC$5&amp;", ","")&amp;IF(AD328&lt;&gt;0,AD$5&amp;", ","")&amp;IF(AE328&lt;&gt;0,AE$5&amp;", ","")&amp;IF(AF328&lt;&gt;0,AF$5&amp;", ","")&amp;IF(AG328&lt;&gt;0,AG$5&amp;", ","")&amp;IF(AH328&lt;&gt;0,AH$5&amp;", ","")&amp;IF(AI328&lt;&gt;0,AI$5&amp;", ","")&amp;IF(AJ328&lt;&gt;0,AJ$5&amp;", ","")&amp;IF(AK328&lt;&gt;0,AK$5&amp;", ","")&amp;IF(AL328&lt;&gt;0,AL$5&amp;", ","")&amp;IF(AM328&lt;&gt;0,AM$5&amp;", ","")&amp;IF(AN328&lt;&gt;0,AN$5&amp;", ","")&amp;IF(AO328&lt;&gt;0,AO$5&amp;", ","")&amp;IF(AP328&lt;&gt;0,AP$5&amp;", ","")&amp;IF(AQ328&lt;&gt;0,AQ$5&amp;", ","")&amp;IF(AR328&lt;&gt;0,AR$5,"")&amp;IF(AS328&lt;&gt;0,AS$5,"")&amp;IF(AT328&lt;&gt;0,AT$5,"")&amp;IF(AU328&lt;&gt;0,AU$5,"")</f>
        <v xml:space="preserve">LUC, LUK, CLN, NTS, DGT, ONT, SON, </v>
      </c>
      <c r="L328" s="413" t="str">
        <f t="shared" si="42"/>
        <v>LUC:216,950595;LUK:9,309095;CLN:9,289225;NTS:3,29842;DGT:1,60947;ONT:20,456165;SON:10,57084;</v>
      </c>
      <c r="M328" s="339">
        <f>218.37*99.35%</f>
        <v>216.95059499999999</v>
      </c>
      <c r="N328" s="339">
        <f>9.37*99.35%</f>
        <v>9.3090949999999992</v>
      </c>
      <c r="O328" s="339"/>
      <c r="P328" s="339">
        <f>9.35*99.35%</f>
        <v>9.2892249999999983</v>
      </c>
      <c r="Q328" s="339">
        <f>3.32*99.35%</f>
        <v>3.2984199999999997</v>
      </c>
      <c r="R328" s="339"/>
      <c r="S328" s="339"/>
      <c r="T328" s="339"/>
      <c r="U328" s="339"/>
      <c r="V328" s="339"/>
      <c r="W328" s="339">
        <f>1.62*99.35%</f>
        <v>1.60947</v>
      </c>
      <c r="X328" s="339"/>
      <c r="Y328" s="339"/>
      <c r="Z328" s="339"/>
      <c r="AA328" s="339"/>
      <c r="AB328" s="339"/>
      <c r="AC328" s="339"/>
      <c r="AD328" s="339"/>
      <c r="AE328" s="339"/>
      <c r="AF328" s="339"/>
      <c r="AG328" s="339"/>
      <c r="AH328" s="339"/>
      <c r="AI328" s="339"/>
      <c r="AJ328" s="339"/>
      <c r="AK328" s="339"/>
      <c r="AL328" s="339">
        <f>20.59*99.35%</f>
        <v>20.456164999999999</v>
      </c>
      <c r="AM328" s="339"/>
      <c r="AN328" s="339"/>
      <c r="AO328" s="339"/>
      <c r="AP328" s="339"/>
      <c r="AQ328" s="339">
        <f>10.64*99.35%</f>
        <v>10.57084</v>
      </c>
      <c r="AR328" s="339"/>
      <c r="AS328" s="339"/>
      <c r="AT328" s="339"/>
      <c r="AU328" s="339"/>
      <c r="AV328" s="614"/>
      <c r="AW328" s="338" t="s">
        <v>266</v>
      </c>
      <c r="AX328" s="616"/>
      <c r="AY328" s="260" t="s">
        <v>416</v>
      </c>
      <c r="AZ328" s="181" t="s">
        <v>1527</v>
      </c>
      <c r="BA328" s="432" t="s">
        <v>791</v>
      </c>
      <c r="BB328" s="351"/>
      <c r="BC328" s="628"/>
      <c r="BD328" s="343"/>
      <c r="BE328" s="343"/>
      <c r="BF328" s="343"/>
      <c r="BG328" s="343" t="s">
        <v>263</v>
      </c>
      <c r="BH328" s="351"/>
    </row>
    <row r="329" spans="1:60" ht="68.25" customHeight="1">
      <c r="A329" s="344">
        <f>SUBTOTAL(3,C$11:$C329)</f>
        <v>229</v>
      </c>
      <c r="B329" s="345" t="s">
        <v>792</v>
      </c>
      <c r="C329" s="346" t="s">
        <v>729</v>
      </c>
      <c r="D329" s="347">
        <v>820</v>
      </c>
      <c r="E329" s="357"/>
      <c r="F329" s="347">
        <v>820</v>
      </c>
      <c r="G329" s="414">
        <f t="shared" si="41"/>
        <v>662.39800000000002</v>
      </c>
      <c r="H329" s="413" t="s">
        <v>1528</v>
      </c>
      <c r="I329" s="413" t="s">
        <v>1529</v>
      </c>
      <c r="J329" s="413" t="s">
        <v>1523</v>
      </c>
      <c r="K329" s="413" t="str">
        <f>IF(M329&lt;&gt;0,$M$5&amp;", ","")&amp;IF(N329&lt;&gt;0,$N$5&amp;", ","")&amp;IF(O329&lt;&gt;0,O$5&amp;", ","")&amp;IF(P329&lt;&gt;0,P$5&amp;", ","")&amp;IF(Q329&lt;&gt;0,Q$5&amp;", ","")&amp;IF(R329&lt;&gt;0,R$5&amp;", ","")&amp;IF(S329&lt;&gt;0,S$5&amp;", ","")&amp;IF(T329&lt;&gt;0,T$5&amp;", ","")&amp;IF(U329&lt;&gt;0,U$5&amp;", ","")&amp;IF(V329&lt;&gt;0,V$5&amp;", ","")&amp;IF(W329&lt;&gt;0,W$5&amp;", ","")&amp;IF(X329&lt;&gt;0,X$5&amp;", ","")&amp;IF(Y329&lt;&gt;0,Y$5&amp;", ","")&amp;IF(Z329&lt;&gt;0,Z$5&amp;", ","")&amp;IF(AA329&lt;&gt;0,AA$5&amp;", ","")&amp;IF(AB329&lt;&gt;0,AB$5&amp;", ","")&amp;IF(AC329&lt;&gt;0,AC$5&amp;", ","")&amp;IF(AD329&lt;&gt;0,AD$5&amp;", ","")&amp;IF(AE329&lt;&gt;0,AE$5&amp;", ","")&amp;IF(AF329&lt;&gt;0,AF$5&amp;", ","")&amp;IF(AG329&lt;&gt;0,AG$5&amp;", ","")&amp;IF(AH329&lt;&gt;0,AH$5&amp;", ","")&amp;IF(AI329&lt;&gt;0,AI$5&amp;", ","")&amp;IF(AJ329&lt;&gt;0,AJ$5&amp;", ","")&amp;IF(AK329&lt;&gt;0,AK$5&amp;", ","")&amp;IF(AL329&lt;&gt;0,AL$5&amp;", ","")&amp;IF(AM329&lt;&gt;0,AM$5&amp;", ","")&amp;IF(AN329&lt;&gt;0,AN$5&amp;", ","")&amp;IF(AO329&lt;&gt;0,AO$5&amp;", ","")&amp;IF(AP329&lt;&gt;0,AP$5&amp;", ","")&amp;IF(AQ329&lt;&gt;0,AQ$5&amp;", ","")&amp;IF(AR329&lt;&gt;0,AR$5,"")&amp;IF(AS329&lt;&gt;0,AS$5,"")&amp;IF(AT329&lt;&gt;0,AT$5,"")&amp;IF(AU329&lt;&gt;0,AU$5,"")</f>
        <v xml:space="preserve">LUC, LUK, CLN, NTS, DGT, DBV, TON, ONT, TSC, SON, </v>
      </c>
      <c r="L329" s="413" t="str">
        <f t="shared" si="42"/>
        <v>LUC:382,34;LUK:48,13;CLN:15,468;NTS:11,36;DGT:45,6;DBV:0,04;TON:1,57;ONT:120,05;TSC:0,22;SON:37,62;</v>
      </c>
      <c r="M329" s="347">
        <f>2.8+0.5+374.58+4.46</f>
        <v>382.34</v>
      </c>
      <c r="N329" s="347">
        <v>48.13</v>
      </c>
      <c r="O329" s="347"/>
      <c r="P329" s="347">
        <v>15.467999999999996</v>
      </c>
      <c r="Q329" s="347">
        <v>11.36</v>
      </c>
      <c r="R329" s="347"/>
      <c r="S329" s="347"/>
      <c r="T329" s="347"/>
      <c r="U329" s="347"/>
      <c r="V329" s="347"/>
      <c r="W329" s="347">
        <v>45.6</v>
      </c>
      <c r="X329" s="347"/>
      <c r="Y329" s="347"/>
      <c r="Z329" s="347"/>
      <c r="AA329" s="347"/>
      <c r="AB329" s="347"/>
      <c r="AC329" s="347"/>
      <c r="AD329" s="347">
        <v>0.04</v>
      </c>
      <c r="AE329" s="347"/>
      <c r="AF329" s="347"/>
      <c r="AG329" s="347">
        <v>1.57</v>
      </c>
      <c r="AH329" s="347"/>
      <c r="AI329" s="347"/>
      <c r="AJ329" s="347"/>
      <c r="AK329" s="347"/>
      <c r="AL329" s="347">
        <v>120.05</v>
      </c>
      <c r="AM329" s="347"/>
      <c r="AN329" s="347">
        <v>0.22</v>
      </c>
      <c r="AO329" s="347"/>
      <c r="AP329" s="347"/>
      <c r="AQ329" s="347">
        <v>37.619999999999997</v>
      </c>
      <c r="AR329" s="347"/>
      <c r="AS329" s="347"/>
      <c r="AT329" s="347"/>
      <c r="AU329" s="347"/>
      <c r="AV329" s="346" t="s">
        <v>286</v>
      </c>
      <c r="AW329" s="346" t="s">
        <v>286</v>
      </c>
      <c r="AX329" s="350" t="s">
        <v>793</v>
      </c>
      <c r="AY329" s="356" t="s">
        <v>793</v>
      </c>
      <c r="AZ329" s="352" t="s">
        <v>1530</v>
      </c>
      <c r="BA329" s="350"/>
      <c r="BB329" s="350"/>
      <c r="BC329" s="195" t="s">
        <v>267</v>
      </c>
      <c r="BD329" s="195"/>
      <c r="BE329" s="195"/>
      <c r="BF329" s="195" t="s">
        <v>263</v>
      </c>
      <c r="BG329" s="195"/>
      <c r="BH329" s="350"/>
    </row>
    <row r="330" spans="1:60" ht="40" customHeight="1">
      <c r="A330" s="344">
        <f>SUBTOTAL(3,C$11:$C330)</f>
        <v>230</v>
      </c>
      <c r="B330" s="345" t="s">
        <v>794</v>
      </c>
      <c r="C330" s="346" t="s">
        <v>56</v>
      </c>
      <c r="D330" s="339">
        <v>31.11</v>
      </c>
      <c r="E330" s="339"/>
      <c r="F330" s="339">
        <v>31.11</v>
      </c>
      <c r="G330" s="414">
        <f t="shared" si="41"/>
        <v>11.800022999999998</v>
      </c>
      <c r="H330" s="413" t="s">
        <v>1531</v>
      </c>
      <c r="I330" s="413" t="s">
        <v>1532</v>
      </c>
      <c r="J330" s="413" t="s">
        <v>1533</v>
      </c>
      <c r="K330" s="413" t="str">
        <f>IF(M330&lt;&gt;0,$M$5&amp;", ","")&amp;IF(N330&lt;&gt;0,$N$5&amp;", ","")&amp;IF(O330&lt;&gt;0,O$5&amp;", ","")&amp;IF(P330&lt;&gt;0,P$5&amp;", ","")&amp;IF(Q330&lt;&gt;0,Q$5&amp;", ","")&amp;IF(R330&lt;&gt;0,R$5&amp;", ","")&amp;IF(S330&lt;&gt;0,S$5&amp;", ","")&amp;IF(T330&lt;&gt;0,T$5&amp;", ","")&amp;IF(U330&lt;&gt;0,U$5&amp;", ","")&amp;IF(V330&lt;&gt;0,V$5&amp;", ","")&amp;IF(W330&lt;&gt;0,W$5&amp;", ","")&amp;IF(X330&lt;&gt;0,X$5&amp;", ","")&amp;IF(Y330&lt;&gt;0,Y$5&amp;", ","")&amp;IF(Z330&lt;&gt;0,Z$5&amp;", ","")&amp;IF(AA330&lt;&gt;0,AA$5&amp;", ","")&amp;IF(AB330&lt;&gt;0,AB$5&amp;", ","")&amp;IF(AC330&lt;&gt;0,AC$5&amp;", ","")&amp;IF(AD330&lt;&gt;0,AD$5&amp;", ","")&amp;IF(AE330&lt;&gt;0,AE$5&amp;", ","")&amp;IF(AF330&lt;&gt;0,AF$5&amp;", ","")&amp;IF(AG330&lt;&gt;0,AG$5&amp;", ","")&amp;IF(AH330&lt;&gt;0,AH$5&amp;", ","")&amp;IF(AI330&lt;&gt;0,AI$5&amp;", ","")&amp;IF(AJ330&lt;&gt;0,AJ$5&amp;", ","")&amp;IF(AK330&lt;&gt;0,AK$5&amp;", ","")&amp;IF(AL330&lt;&gt;0,AL$5&amp;", ","")&amp;IF(AM330&lt;&gt;0,AM$5&amp;", ","")&amp;IF(AN330&lt;&gt;0,AN$5&amp;", ","")&amp;IF(AO330&lt;&gt;0,AO$5&amp;", ","")&amp;IF(AP330&lt;&gt;0,AP$5&amp;", ","")&amp;IF(AQ330&lt;&gt;0,AQ$5&amp;", ","")&amp;IF(AR330&lt;&gt;0,AR$5,"")&amp;IF(AS330&lt;&gt;0,AS$5,"")&amp;IF(AT330&lt;&gt;0,AT$5,"")&amp;IF(AU330&lt;&gt;0,AU$5,"")</f>
        <v xml:space="preserve">LUC, CLN, NTS, ONT, SON, </v>
      </c>
      <c r="L330" s="413" t="str">
        <f t="shared" si="42"/>
        <v>LUC:1,8965;CLN:0,7586;NTS:7,817373;ONT:0,7586;SON:0,56895;</v>
      </c>
      <c r="M330" s="339">
        <f>5*37.93%</f>
        <v>1.8964999999999999</v>
      </c>
      <c r="N330" s="339"/>
      <c r="O330" s="339"/>
      <c r="P330" s="339">
        <f>2*37.93%</f>
        <v>0.75859999999999994</v>
      </c>
      <c r="Q330" s="339">
        <f>20.61*37.93%</f>
        <v>7.817372999999999</v>
      </c>
      <c r="R330" s="339"/>
      <c r="S330" s="339"/>
      <c r="T330" s="339"/>
      <c r="U330" s="339"/>
      <c r="V330" s="339"/>
      <c r="W330" s="339"/>
      <c r="X330" s="339"/>
      <c r="Y330" s="339"/>
      <c r="Z330" s="339"/>
      <c r="AA330" s="339"/>
      <c r="AB330" s="339"/>
      <c r="AC330" s="339"/>
      <c r="AD330" s="339"/>
      <c r="AE330" s="339"/>
      <c r="AF330" s="339"/>
      <c r="AG330" s="339"/>
      <c r="AH330" s="339"/>
      <c r="AI330" s="339"/>
      <c r="AJ330" s="339"/>
      <c r="AK330" s="339"/>
      <c r="AL330" s="339">
        <f>2*37.93%</f>
        <v>0.75859999999999994</v>
      </c>
      <c r="AM330" s="339"/>
      <c r="AN330" s="339"/>
      <c r="AO330" s="339"/>
      <c r="AP330" s="339"/>
      <c r="AQ330" s="339">
        <f>1.5*37.93%</f>
        <v>0.56894999999999996</v>
      </c>
      <c r="AR330" s="339"/>
      <c r="AS330" s="339"/>
      <c r="AT330" s="339"/>
      <c r="AU330" s="339"/>
      <c r="AV330" s="346" t="s">
        <v>286</v>
      </c>
      <c r="AW330" s="346" t="s">
        <v>286</v>
      </c>
      <c r="AX330" s="351" t="s">
        <v>795</v>
      </c>
      <c r="AY330" s="260" t="s">
        <v>795</v>
      </c>
      <c r="AZ330" s="181" t="s">
        <v>1534</v>
      </c>
      <c r="BA330" s="351" t="s">
        <v>796</v>
      </c>
      <c r="BB330" s="351"/>
      <c r="BC330" s="156" t="s">
        <v>316</v>
      </c>
      <c r="BD330" s="156"/>
      <c r="BE330" s="156"/>
      <c r="BF330" s="156"/>
      <c r="BG330" s="156" t="s">
        <v>263</v>
      </c>
      <c r="BH330" s="351"/>
    </row>
    <row r="331" spans="1:60" ht="61.5" customHeight="1">
      <c r="A331" s="344">
        <f>SUBTOTAL(3,C$11:$C331)</f>
        <v>231</v>
      </c>
      <c r="B331" s="337" t="s">
        <v>797</v>
      </c>
      <c r="C331" s="338" t="s">
        <v>56</v>
      </c>
      <c r="D331" s="339">
        <v>220</v>
      </c>
      <c r="E331" s="339"/>
      <c r="F331" s="339">
        <v>220</v>
      </c>
      <c r="G331" s="414">
        <f t="shared" si="41"/>
        <v>219.99999999999997</v>
      </c>
      <c r="H331" s="413" t="s">
        <v>1531</v>
      </c>
      <c r="I331" s="413" t="s">
        <v>1055</v>
      </c>
      <c r="J331" s="413" t="s">
        <v>1535</v>
      </c>
      <c r="K331" s="413" t="str">
        <f>IF(M331&lt;&gt;0,$M$5&amp;", ","")&amp;IF(N331&lt;&gt;0,$N$5&amp;", ","")&amp;IF(O331&lt;&gt;0,O$5&amp;", ","")&amp;IF(P331&lt;&gt;0,P$5&amp;", ","")&amp;IF(Q331&lt;&gt;0,Q$5&amp;", ","")&amp;IF(R331&lt;&gt;0,R$5&amp;", ","")&amp;IF(S331&lt;&gt;0,S$5&amp;", ","")&amp;IF(T331&lt;&gt;0,T$5&amp;", ","")&amp;IF(U331&lt;&gt;0,U$5&amp;", ","")&amp;IF(V331&lt;&gt;0,V$5&amp;", ","")&amp;IF(W331&lt;&gt;0,W$5&amp;", ","")&amp;IF(X331&lt;&gt;0,X$5&amp;", ","")&amp;IF(Y331&lt;&gt;0,Y$5&amp;", ","")&amp;IF(Z331&lt;&gt;0,Z$5&amp;", ","")&amp;IF(AA331&lt;&gt;0,AA$5&amp;", ","")&amp;IF(AB331&lt;&gt;0,AB$5&amp;", ","")&amp;IF(AC331&lt;&gt;0,AC$5&amp;", ","")&amp;IF(AD331&lt;&gt;0,AD$5&amp;", ","")&amp;IF(AE331&lt;&gt;0,AE$5&amp;", ","")&amp;IF(AF331&lt;&gt;0,AF$5&amp;", ","")&amp;IF(AG331&lt;&gt;0,AG$5&amp;", ","")&amp;IF(AH331&lt;&gt;0,AH$5&amp;", ","")&amp;IF(AI331&lt;&gt;0,AI$5&amp;", ","")&amp;IF(AJ331&lt;&gt;0,AJ$5&amp;", ","")&amp;IF(AK331&lt;&gt;0,AK$5&amp;", ","")&amp;IF(AL331&lt;&gt;0,AL$5&amp;", ","")&amp;IF(AM331&lt;&gt;0,AM$5&amp;", ","")&amp;IF(AN331&lt;&gt;0,AN$5&amp;", ","")&amp;IF(AO331&lt;&gt;0,AO$5&amp;", ","")&amp;IF(AP331&lt;&gt;0,AP$5&amp;", ","")&amp;IF(AQ331&lt;&gt;0,AQ$5&amp;", ","")&amp;IF(AR331&lt;&gt;0,AR$5,"")&amp;IF(AS331&lt;&gt;0,AS$5,"")&amp;IF(AT331&lt;&gt;0,AT$5,"")&amp;IF(AU331&lt;&gt;0,AU$5,"")</f>
        <v xml:space="preserve">HNK, CLN, NTS, DGT, ONT, SON, </v>
      </c>
      <c r="L331" s="413" t="str">
        <f t="shared" si="42"/>
        <v>HNK:1,53;CLN:16,48;NTS:171,43;DGT:1,82;ONT:10,23;SON:18,51;</v>
      </c>
      <c r="M331" s="339"/>
      <c r="N331" s="339"/>
      <c r="O331" s="339">
        <v>1.53</v>
      </c>
      <c r="P331" s="339">
        <v>16.48</v>
      </c>
      <c r="Q331" s="339">
        <v>171.43</v>
      </c>
      <c r="R331" s="339"/>
      <c r="S331" s="339"/>
      <c r="T331" s="339"/>
      <c r="U331" s="339"/>
      <c r="V331" s="339"/>
      <c r="W331" s="339">
        <v>1.82</v>
      </c>
      <c r="X331" s="339"/>
      <c r="Y331" s="339"/>
      <c r="Z331" s="339"/>
      <c r="AA331" s="339"/>
      <c r="AB331" s="339"/>
      <c r="AC331" s="339"/>
      <c r="AD331" s="339"/>
      <c r="AE331" s="339"/>
      <c r="AF331" s="339"/>
      <c r="AG331" s="339"/>
      <c r="AH331" s="339"/>
      <c r="AI331" s="339"/>
      <c r="AJ331" s="339"/>
      <c r="AK331" s="339"/>
      <c r="AL331" s="339">
        <v>10.23</v>
      </c>
      <c r="AM331" s="339"/>
      <c r="AN331" s="339"/>
      <c r="AO331" s="339"/>
      <c r="AP331" s="339"/>
      <c r="AQ331" s="339">
        <v>18.510000000000002</v>
      </c>
      <c r="AR331" s="339"/>
      <c r="AS331" s="339"/>
      <c r="AT331" s="339"/>
      <c r="AU331" s="339"/>
      <c r="AV331" s="338" t="s">
        <v>286</v>
      </c>
      <c r="AW331" s="338" t="s">
        <v>286</v>
      </c>
      <c r="AX331" s="350" t="s">
        <v>798</v>
      </c>
      <c r="AY331" s="356" t="s">
        <v>798</v>
      </c>
      <c r="AZ331" s="352" t="s">
        <v>1536</v>
      </c>
      <c r="BA331" s="350"/>
      <c r="BB331" s="350"/>
      <c r="BC331" s="156" t="s">
        <v>316</v>
      </c>
      <c r="BD331" s="156"/>
      <c r="BE331" s="156"/>
      <c r="BF331" s="156" t="s">
        <v>263</v>
      </c>
      <c r="BG331" s="156"/>
      <c r="BH331" s="350"/>
    </row>
    <row r="332" spans="1:60" ht="54.65" customHeight="1">
      <c r="A332" s="611">
        <f>SUBTOTAL(3,C$11:$C332)</f>
        <v>232</v>
      </c>
      <c r="B332" s="625" t="s">
        <v>799</v>
      </c>
      <c r="C332" s="607" t="s">
        <v>56</v>
      </c>
      <c r="D332" s="598">
        <v>75.06</v>
      </c>
      <c r="E332" s="612"/>
      <c r="F332" s="339">
        <f>F333+F334</f>
        <v>75.06</v>
      </c>
      <c r="G332" s="414"/>
      <c r="H332" s="413" t="s">
        <v>1537</v>
      </c>
      <c r="I332" s="413"/>
      <c r="J332" s="413"/>
      <c r="K332" s="413"/>
      <c r="L332" s="413"/>
      <c r="M332" s="339"/>
      <c r="N332" s="339"/>
      <c r="O332" s="339"/>
      <c r="P332" s="339"/>
      <c r="Q332" s="339"/>
      <c r="R332" s="339"/>
      <c r="S332" s="339"/>
      <c r="T332" s="339"/>
      <c r="U332" s="339"/>
      <c r="V332" s="339"/>
      <c r="W332" s="339"/>
      <c r="X332" s="339"/>
      <c r="Y332" s="339"/>
      <c r="Z332" s="339"/>
      <c r="AA332" s="339"/>
      <c r="AB332" s="339"/>
      <c r="AC332" s="339"/>
      <c r="AD332" s="339"/>
      <c r="AE332" s="339"/>
      <c r="AF332" s="339"/>
      <c r="AG332" s="339"/>
      <c r="AH332" s="339"/>
      <c r="AI332" s="339"/>
      <c r="AJ332" s="339"/>
      <c r="AK332" s="339"/>
      <c r="AL332" s="339"/>
      <c r="AM332" s="339"/>
      <c r="AN332" s="339"/>
      <c r="AO332" s="339"/>
      <c r="AP332" s="339"/>
      <c r="AQ332" s="339"/>
      <c r="AR332" s="339"/>
      <c r="AS332" s="339"/>
      <c r="AT332" s="339"/>
      <c r="AU332" s="339"/>
      <c r="AV332" s="338" t="s">
        <v>1538</v>
      </c>
      <c r="AW332" s="338"/>
      <c r="AX332" s="350" t="s">
        <v>1539</v>
      </c>
      <c r="AY332" s="356"/>
      <c r="AZ332" s="352"/>
      <c r="BA332" s="350"/>
      <c r="BB332" s="350"/>
      <c r="BC332" s="364"/>
      <c r="BD332" s="364"/>
      <c r="BE332" s="364"/>
      <c r="BF332" s="364"/>
      <c r="BG332" s="364"/>
      <c r="BH332" s="350"/>
    </row>
    <row r="333" spans="1:60" ht="40" customHeight="1">
      <c r="A333" s="611"/>
      <c r="B333" s="625"/>
      <c r="C333" s="607"/>
      <c r="D333" s="598"/>
      <c r="E333" s="612"/>
      <c r="F333" s="347">
        <v>69.3</v>
      </c>
      <c r="G333" s="414">
        <f t="shared" si="41"/>
        <v>69.3</v>
      </c>
      <c r="H333" s="413" t="s">
        <v>1540</v>
      </c>
      <c r="I333" s="413" t="s">
        <v>1541</v>
      </c>
      <c r="J333" s="413"/>
      <c r="K333" s="413" t="str">
        <f>IF(M333&lt;&gt;0,$M$5&amp;", ","")&amp;IF(N333&lt;&gt;0,$N$5&amp;", ","")&amp;IF(O333&lt;&gt;0,O$5&amp;", ","")&amp;IF(P333&lt;&gt;0,P$5&amp;", ","")&amp;IF(Q333&lt;&gt;0,Q$5&amp;", ","")&amp;IF(R333&lt;&gt;0,R$5&amp;", ","")&amp;IF(S333&lt;&gt;0,S$5&amp;", ","")&amp;IF(T333&lt;&gt;0,T$5&amp;", ","")&amp;IF(U333&lt;&gt;0,U$5&amp;", ","")&amp;IF(V333&lt;&gt;0,V$5&amp;", ","")&amp;IF(W333&lt;&gt;0,W$5&amp;", ","")&amp;IF(X333&lt;&gt;0,X$5&amp;", ","")&amp;IF(Y333&lt;&gt;0,Y$5&amp;", ","")&amp;IF(Z333&lt;&gt;0,Z$5&amp;", ","")&amp;IF(AA333&lt;&gt;0,AA$5&amp;", ","")&amp;IF(AB333&lt;&gt;0,AB$5&amp;", ","")&amp;IF(AC333&lt;&gt;0,AC$5&amp;", ","")&amp;IF(AD333&lt;&gt;0,AD$5&amp;", ","")&amp;IF(AE333&lt;&gt;0,AE$5&amp;", ","")&amp;IF(AF333&lt;&gt;0,AF$5&amp;", ","")&amp;IF(AG333&lt;&gt;0,AG$5&amp;", ","")&amp;IF(AH333&lt;&gt;0,AH$5&amp;", ","")&amp;IF(AI333&lt;&gt;0,AI$5&amp;", ","")&amp;IF(AJ333&lt;&gt;0,AJ$5&amp;", ","")&amp;IF(AK333&lt;&gt;0,AK$5&amp;", ","")&amp;IF(AL333&lt;&gt;0,AL$5&amp;", ","")&amp;IF(AM333&lt;&gt;0,AM$5&amp;", ","")&amp;IF(AN333&lt;&gt;0,AN$5&amp;", ","")&amp;IF(AO333&lt;&gt;0,AO$5&amp;", ","")&amp;IF(AP333&lt;&gt;0,AP$5&amp;", ","")&amp;IF(AQ333&lt;&gt;0,AQ$5&amp;", ","")&amp;IF(AR333&lt;&gt;0,AR$5,"")&amp;IF(AS333&lt;&gt;0,AS$5,"")&amp;IF(AT333&lt;&gt;0,AT$5,"")&amp;IF(AU333&lt;&gt;0,AU$5,"")</f>
        <v xml:space="preserve">LUC, CLN, NTS, DGT, NTD, ONT, TIN, SON, </v>
      </c>
      <c r="L333" s="413" t="str">
        <f t="shared" ref="L333:L343" si="46">IF(M333="","",$M$5&amp;":"&amp;M333&amp;";")&amp;IF(N333="","",$N$5&amp;":"&amp;N333&amp;";")&amp;IF(O333="","",$O$5&amp;":"&amp;O333&amp;";")&amp;IF(P333="","",$P$5&amp;":"&amp;P333&amp;";")&amp;IF(Q333="","",$Q$5&amp;":"&amp;Q333&amp;";")&amp;IF(R333="","",$R$5&amp;":"&amp;R333&amp;";")&amp;IF(S333="","",$S$5&amp;":"&amp;S333&amp;";")&amp;IF(T333="","",$T$5&amp;":"&amp;T333&amp;";")&amp;IF(U333="","",$U$5&amp;":"&amp;U333&amp;";")&amp;IF(V333="","",$V$5&amp;":"&amp;V333&amp;";")&amp;IF(W333="","",$W$5&amp;":"&amp;W333&amp;";")&amp;IF(X333="","",$X$5&amp;":"&amp;X333&amp;";")&amp;IF(Y333="","",$Y$5&amp;":"&amp;Y333&amp;";")&amp;IF(Z333="","",$Z$5&amp;":"&amp;Z333&amp;";")&amp;IF(AA333="","",$AA$5&amp;":"&amp;AA333&amp;";")&amp;IF(AB333="","",$AB$5&amp;":"&amp;AB333&amp;";")&amp;IF(AC333="","",$AC$5&amp;":"&amp;AC333&amp;";")&amp;IF(AD333="","",$AD$5&amp;":"&amp;AD333&amp;";")&amp;IF(AE333="","",$AE$5&amp;":"&amp;AE333&amp;";")&amp;IF(AF333="","",$AF$5&amp;":"&amp;AF333&amp;";")&amp;IF(AG333="","",$AG$5&amp;":"&amp;AG333&amp;";")&amp;IF(AH333="","",$AH$5&amp;":"&amp;AH333&amp;";")&amp;IF(AI333="","",$AI$5&amp;":"&amp;AI333&amp;";")&amp;IF(AJ333="","",$AJ$5&amp;":"&amp;AJ333&amp;";")&amp;IF(AK333="","",$AK$5&amp;":"&amp;AK333&amp;";")&amp;IF(AL333="","",$AL$5&amp;":"&amp;AL333&amp;";")&amp;IF(AM333="","",$AM$5&amp;":"&amp;AM333&amp;";")&amp;IF(AN333="","",$AN$5&amp;":"&amp;AN333&amp;";")&amp;IF(AO333="","",$AO$5&amp;":"&amp;AO333&amp;";")&amp;IF(AP333="","",$AP$5&amp;":"&amp;AP333&amp;";")&amp;IF(AQ333="","",$AQ$5&amp;":"&amp;AQ333&amp;";")&amp;IF(AR333="","",$AR$5&amp;":"&amp;AR333&amp;";")&amp;IF(AS333="","",$AS$5&amp;":"&amp;AS333&amp;";")&amp;IF(AT333="","",$AT$5&amp;":"&amp;AT333&amp;";")&amp;IF(AU333="","",$AU$5&amp;":"&amp;AU333&amp;";")</f>
        <v>LUC:13,3;CLN:8,65;NTS:37,36;DGT:1,15;NTD:0,3;ONT:5,38;TIN:0,06;SON:3,1;</v>
      </c>
      <c r="M333" s="347">
        <v>13.3</v>
      </c>
      <c r="N333" s="347"/>
      <c r="O333" s="347"/>
      <c r="P333" s="347">
        <v>8.65</v>
      </c>
      <c r="Q333" s="347">
        <v>37.36</v>
      </c>
      <c r="R333" s="347"/>
      <c r="S333" s="347"/>
      <c r="T333" s="347"/>
      <c r="U333" s="347"/>
      <c r="V333" s="347"/>
      <c r="W333" s="347">
        <v>1.1499999999999999</v>
      </c>
      <c r="X333" s="347"/>
      <c r="Y333" s="347"/>
      <c r="Z333" s="347"/>
      <c r="AA333" s="347"/>
      <c r="AB333" s="347"/>
      <c r="AC333" s="347"/>
      <c r="AD333" s="347"/>
      <c r="AE333" s="347"/>
      <c r="AF333" s="347"/>
      <c r="AG333" s="347"/>
      <c r="AH333" s="347">
        <v>0.3</v>
      </c>
      <c r="AI333" s="347"/>
      <c r="AJ333" s="347"/>
      <c r="AK333" s="347"/>
      <c r="AL333" s="347">
        <v>5.38</v>
      </c>
      <c r="AM333" s="347"/>
      <c r="AN333" s="347"/>
      <c r="AO333" s="347"/>
      <c r="AP333" s="347">
        <v>0.06</v>
      </c>
      <c r="AQ333" s="347">
        <v>3.1</v>
      </c>
      <c r="AR333" s="347"/>
      <c r="AS333" s="347"/>
      <c r="AT333" s="347"/>
      <c r="AU333" s="347"/>
      <c r="AV333" s="346" t="s">
        <v>286</v>
      </c>
      <c r="AW333" s="346" t="s">
        <v>286</v>
      </c>
      <c r="AX333" s="350" t="s">
        <v>798</v>
      </c>
      <c r="AY333" s="356" t="s">
        <v>798</v>
      </c>
      <c r="AZ333" s="352" t="s">
        <v>1542</v>
      </c>
      <c r="BA333" s="350" t="s">
        <v>800</v>
      </c>
      <c r="BB333" s="350"/>
      <c r="BC333" s="627" t="s">
        <v>267</v>
      </c>
      <c r="BD333" s="341"/>
      <c r="BE333" s="341"/>
      <c r="BF333" s="341"/>
      <c r="BG333" s="341" t="s">
        <v>263</v>
      </c>
      <c r="BH333" s="350"/>
    </row>
    <row r="334" spans="1:60" ht="40" customHeight="1">
      <c r="A334" s="611"/>
      <c r="B334" s="625"/>
      <c r="C334" s="607"/>
      <c r="D334" s="598"/>
      <c r="E334" s="612"/>
      <c r="F334" s="347">
        <v>5.76</v>
      </c>
      <c r="G334" s="414">
        <f t="shared" si="41"/>
        <v>5.76</v>
      </c>
      <c r="H334" s="413" t="s">
        <v>1543</v>
      </c>
      <c r="I334" s="413" t="s">
        <v>1543</v>
      </c>
      <c r="J334" s="413"/>
      <c r="K334" s="413" t="str">
        <f>IF(M334&lt;&gt;0,$M$5&amp;", ","")&amp;IF(N334&lt;&gt;0,$N$5&amp;", ","")&amp;IF(O334&lt;&gt;0,O$5&amp;", ","")&amp;IF(P334&lt;&gt;0,P$5&amp;", ","")&amp;IF(Q334&lt;&gt;0,Q$5&amp;", ","")&amp;IF(R334&lt;&gt;0,R$5&amp;", ","")&amp;IF(S334&lt;&gt;0,S$5&amp;", ","")&amp;IF(T334&lt;&gt;0,T$5&amp;", ","")&amp;IF(U334&lt;&gt;0,U$5&amp;", ","")&amp;IF(V334&lt;&gt;0,V$5&amp;", ","")&amp;IF(W334&lt;&gt;0,W$5&amp;", ","")&amp;IF(X334&lt;&gt;0,X$5&amp;", ","")&amp;IF(Y334&lt;&gt;0,Y$5&amp;", ","")&amp;IF(Z334&lt;&gt;0,Z$5&amp;", ","")&amp;IF(AA334&lt;&gt;0,AA$5&amp;", ","")&amp;IF(AB334&lt;&gt;0,AB$5&amp;", ","")&amp;IF(AC334&lt;&gt;0,AC$5&amp;", ","")&amp;IF(AD334&lt;&gt;0,AD$5&amp;", ","")&amp;IF(AE334&lt;&gt;0,AE$5&amp;", ","")&amp;IF(AF334&lt;&gt;0,AF$5&amp;", ","")&amp;IF(AG334&lt;&gt;0,AG$5&amp;", ","")&amp;IF(AH334&lt;&gt;0,AH$5&amp;", ","")&amp;IF(AI334&lt;&gt;0,AI$5&amp;", ","")&amp;IF(AJ334&lt;&gt;0,AJ$5&amp;", ","")&amp;IF(AK334&lt;&gt;0,AK$5&amp;", ","")&amp;IF(AL334&lt;&gt;0,AL$5&amp;", ","")&amp;IF(AM334&lt;&gt;0,AM$5&amp;", ","")&amp;IF(AN334&lt;&gt;0,AN$5&amp;", ","")&amp;IF(AO334&lt;&gt;0,AO$5&amp;", ","")&amp;IF(AP334&lt;&gt;0,AP$5&amp;", ","")&amp;IF(AQ334&lt;&gt;0,AQ$5&amp;", ","")&amp;IF(AR334&lt;&gt;0,AR$5,"")&amp;IF(AS334&lt;&gt;0,AS$5,"")&amp;IF(AT334&lt;&gt;0,AT$5,"")&amp;IF(AU334&lt;&gt;0,AU$5,"")</f>
        <v xml:space="preserve">HNK, CLN, ONT, SON, </v>
      </c>
      <c r="L334" s="413" t="str">
        <f t="shared" si="46"/>
        <v>HNK:0,298666666666667;CLN:3,15733333333333;ONT:2,19733333333333;SON:0,106666666666667;</v>
      </c>
      <c r="M334" s="347"/>
      <c r="N334" s="347"/>
      <c r="O334" s="347">
        <f>0.14/46.875%</f>
        <v>0.29866666666666669</v>
      </c>
      <c r="P334" s="347">
        <f>1.48/46.875%</f>
        <v>3.1573333333333333</v>
      </c>
      <c r="Q334" s="347"/>
      <c r="R334" s="347"/>
      <c r="S334" s="347"/>
      <c r="T334" s="347"/>
      <c r="U334" s="347"/>
      <c r="V334" s="347"/>
      <c r="W334" s="347"/>
      <c r="X334" s="347"/>
      <c r="Y334" s="347"/>
      <c r="Z334" s="347"/>
      <c r="AA334" s="347"/>
      <c r="AB334" s="347"/>
      <c r="AC334" s="347"/>
      <c r="AD334" s="347"/>
      <c r="AE334" s="347"/>
      <c r="AF334" s="347"/>
      <c r="AG334" s="347"/>
      <c r="AH334" s="347"/>
      <c r="AI334" s="347"/>
      <c r="AJ334" s="347"/>
      <c r="AK334" s="347"/>
      <c r="AL334" s="347">
        <f>1.03/46.875%</f>
        <v>2.1973333333333334</v>
      </c>
      <c r="AM334" s="347"/>
      <c r="AN334" s="347"/>
      <c r="AO334" s="347"/>
      <c r="AP334" s="347"/>
      <c r="AQ334" s="347">
        <f>0.05/46.875%</f>
        <v>0.10666666666666667</v>
      </c>
      <c r="AR334" s="347"/>
      <c r="AS334" s="347"/>
      <c r="AT334" s="347"/>
      <c r="AU334" s="347"/>
      <c r="AV334" s="346" t="s">
        <v>295</v>
      </c>
      <c r="AW334" s="346" t="s">
        <v>295</v>
      </c>
      <c r="AX334" s="350" t="s">
        <v>332</v>
      </c>
      <c r="AY334" s="356" t="s">
        <v>332</v>
      </c>
      <c r="AZ334" s="352" t="s">
        <v>1544</v>
      </c>
      <c r="BA334" s="350"/>
      <c r="BB334" s="350"/>
      <c r="BC334" s="628"/>
      <c r="BD334" s="343"/>
      <c r="BE334" s="343"/>
      <c r="BF334" s="343"/>
      <c r="BG334" s="343" t="s">
        <v>263</v>
      </c>
      <c r="BH334" s="350"/>
    </row>
    <row r="335" spans="1:60" ht="46.5" customHeight="1">
      <c r="A335" s="344">
        <f>SUBTOTAL(3,C$11:$C335)</f>
        <v>233</v>
      </c>
      <c r="B335" s="345" t="s">
        <v>785</v>
      </c>
      <c r="C335" s="346" t="s">
        <v>56</v>
      </c>
      <c r="D335" s="361">
        <v>27</v>
      </c>
      <c r="E335" s="366"/>
      <c r="F335" s="361">
        <v>27</v>
      </c>
      <c r="G335" s="414">
        <f t="shared" si="41"/>
        <v>27.001270648030495</v>
      </c>
      <c r="H335" s="413" t="s">
        <v>1545</v>
      </c>
      <c r="I335" s="413" t="s">
        <v>1546</v>
      </c>
      <c r="J335" s="413" t="s">
        <v>1547</v>
      </c>
      <c r="K335" s="413" t="e">
        <f>IF(M335&lt;&gt;I:V0,$M$5&amp;", ","")&amp;IF(N335&lt;&gt;0,$N$5&amp;", ","")&amp;IF(O335&lt;&gt;0,O$5&amp;", ","")&amp;IF(P335&lt;&gt;0,P$5&amp;", ","")&amp;IF(Q335&lt;&gt;0,Q$5&amp;", ","")&amp;IF(R335&lt;&gt;0,R$5&amp;", ","")&amp;IF(S335&lt;&gt;0,S$5&amp;", ","")&amp;IF(T335&lt;&gt;0,T$5&amp;", ","")&amp;IF(U335&lt;&gt;0,U$5&amp;", ","")&amp;IF(V335&lt;&gt;0,V$5&amp;", ","")&amp;IF(W335&lt;&gt;0,W$5&amp;", ","")&amp;IF(X335&lt;&gt;0,X$5&amp;", ","")&amp;IF(Y335&lt;&gt;0,Y$5&amp;", ","")&amp;IF(Z335&lt;&gt;0,Z$5&amp;", ","")&amp;IF(AA335&lt;&gt;0,AA$5&amp;", ","")&amp;IF(AB335&lt;&gt;0,AB$5&amp;", ","")&amp;IF(AC335&lt;&gt;0,AC$5&amp;", ","")&amp;IF(AD335&lt;&gt;0,AD$5&amp;", ","")&amp;IF(AE335&lt;&gt;0,AE$5&amp;", ","")&amp;IF(AF335&lt;&gt;0,AF$5&amp;", ","")&amp;IF(AG335&lt;&gt;0,AG$5&amp;", ","")&amp;IF(AH335&lt;&gt;0,AH$5&amp;", ","")&amp;IF(AI335&lt;&gt;0,AI$5&amp;", ","")&amp;IF(AJ335&lt;&gt;0,AJ$5&amp;", ","")&amp;IF(AK335&lt;&gt;0,AK$5&amp;", ","")&amp;IF(AL335&lt;&gt;0,AL$5&amp;", ","")&amp;IF(AM335&lt;&gt;0,AM$5&amp;", ","")&amp;IF(AN335&lt;&gt;0,AN$5&amp;", ","")&amp;IF(AO335&lt;&gt;0,AO$5&amp;", ","")&amp;IF(AP335&lt;&gt;0,AP$5&amp;", ","")&amp;IF(AQ335&lt;&gt;0,AQ$5&amp;", ","")&amp;IF(AR335&lt;&gt;0,AR$5,"")&amp;IF(AS335&lt;&gt;0,AS$5,"")&amp;IF(AT335&lt;&gt;0,AT$5,"")&amp;IF(AU335&lt;&gt;0,AU$5,"")</f>
        <v>#NAME?</v>
      </c>
      <c r="L335" s="413" t="str">
        <f t="shared" si="46"/>
        <v>LUK:14,2630241423126;HNK:1,00063532401525;DGT:0,778271918678526;NTD:0,0952986022871664;ONT:10,864040660737;</v>
      </c>
      <c r="M335" s="361"/>
      <c r="N335" s="361">
        <f>8.98/62.96%</f>
        <v>14.263024142312579</v>
      </c>
      <c r="O335" s="361">
        <f>0.63/62.96%</f>
        <v>1.0006353240152477</v>
      </c>
      <c r="P335" s="361"/>
      <c r="Q335" s="361"/>
      <c r="R335" s="361"/>
      <c r="S335" s="361"/>
      <c r="T335" s="361"/>
      <c r="U335" s="361"/>
      <c r="V335" s="361"/>
      <c r="W335" s="361">
        <f>0.49/62.96%</f>
        <v>0.77827191867852596</v>
      </c>
      <c r="X335" s="361"/>
      <c r="Y335" s="361"/>
      <c r="Z335" s="361"/>
      <c r="AA335" s="361"/>
      <c r="AB335" s="361"/>
      <c r="AC335" s="361"/>
      <c r="AD335" s="361"/>
      <c r="AE335" s="361"/>
      <c r="AF335" s="361"/>
      <c r="AG335" s="361"/>
      <c r="AH335" s="361">
        <f>0.06/62.96%</f>
        <v>9.529860228716644E-2</v>
      </c>
      <c r="AI335" s="361"/>
      <c r="AJ335" s="361"/>
      <c r="AK335" s="361"/>
      <c r="AL335" s="361">
        <f>6.84/62.96%</f>
        <v>10.864040660736975</v>
      </c>
      <c r="AM335" s="361"/>
      <c r="AN335" s="361"/>
      <c r="AO335" s="361"/>
      <c r="AP335" s="361"/>
      <c r="AQ335" s="361"/>
      <c r="AR335" s="361"/>
      <c r="AS335" s="361"/>
      <c r="AT335" s="361"/>
      <c r="AU335" s="361"/>
      <c r="AV335" s="346" t="s">
        <v>266</v>
      </c>
      <c r="AW335" s="346" t="s">
        <v>266</v>
      </c>
      <c r="AX335" s="432" t="s">
        <v>319</v>
      </c>
      <c r="AY335" s="433" t="s">
        <v>319</v>
      </c>
      <c r="AZ335" s="434" t="s">
        <v>1548</v>
      </c>
      <c r="BA335" s="432"/>
      <c r="BB335" s="432"/>
      <c r="BC335" s="478" t="s">
        <v>267</v>
      </c>
      <c r="BD335" s="478"/>
      <c r="BE335" s="478"/>
      <c r="BF335" s="478"/>
      <c r="BG335" s="478" t="s">
        <v>263</v>
      </c>
      <c r="BH335" s="432"/>
    </row>
    <row r="336" spans="1:60" ht="58.25" customHeight="1">
      <c r="A336" s="344">
        <f>SUBTOTAL(3,C$11:$C336)</f>
        <v>234</v>
      </c>
      <c r="B336" s="345" t="s">
        <v>779</v>
      </c>
      <c r="C336" s="346" t="s">
        <v>56</v>
      </c>
      <c r="D336" s="210">
        <v>10.7</v>
      </c>
      <c r="E336" s="357"/>
      <c r="F336" s="347">
        <v>10.7</v>
      </c>
      <c r="G336" s="414">
        <f t="shared" si="41"/>
        <v>10.7</v>
      </c>
      <c r="H336" s="413" t="s">
        <v>1545</v>
      </c>
      <c r="I336" s="413" t="s">
        <v>1549</v>
      </c>
      <c r="J336" s="413" t="s">
        <v>1547</v>
      </c>
      <c r="K336" s="413" t="str">
        <f t="shared" ref="K336:K343" si="47">IF(M336&lt;&gt;0,$M$5&amp;", ","")&amp;IF(N336&lt;&gt;0,$N$5&amp;", ","")&amp;IF(O336&lt;&gt;0,O$5&amp;", ","")&amp;IF(P336&lt;&gt;0,P$5&amp;", ","")&amp;IF(Q336&lt;&gt;0,Q$5&amp;", ","")&amp;IF(R336&lt;&gt;0,R$5&amp;", ","")&amp;IF(S336&lt;&gt;0,S$5&amp;", ","")&amp;IF(T336&lt;&gt;0,T$5&amp;", ","")&amp;IF(U336&lt;&gt;0,U$5&amp;", ","")&amp;IF(V336&lt;&gt;0,V$5&amp;", ","")&amp;IF(W336&lt;&gt;0,W$5&amp;", ","")&amp;IF(X336&lt;&gt;0,X$5&amp;", ","")&amp;IF(Y336&lt;&gt;0,Y$5&amp;", ","")&amp;IF(Z336&lt;&gt;0,Z$5&amp;", ","")&amp;IF(AA336&lt;&gt;0,AA$5&amp;", ","")&amp;IF(AB336&lt;&gt;0,AB$5&amp;", ","")&amp;IF(AC336&lt;&gt;0,AC$5&amp;", ","")&amp;IF(AD336&lt;&gt;0,AD$5&amp;", ","")&amp;IF(AE336&lt;&gt;0,AE$5&amp;", ","")&amp;IF(AF336&lt;&gt;0,AF$5&amp;", ","")&amp;IF(AG336&lt;&gt;0,AG$5&amp;", ","")&amp;IF(AH336&lt;&gt;0,AH$5&amp;", ","")&amp;IF(AI336&lt;&gt;0,AI$5&amp;", ","")&amp;IF(AJ336&lt;&gt;0,AJ$5&amp;", ","")&amp;IF(AK336&lt;&gt;0,AK$5&amp;", ","")&amp;IF(AL336&lt;&gt;0,AL$5&amp;", ","")&amp;IF(AM336&lt;&gt;0,AM$5&amp;", ","")&amp;IF(AN336&lt;&gt;0,AN$5&amp;", ","")&amp;IF(AO336&lt;&gt;0,AO$5&amp;", ","")&amp;IF(AP336&lt;&gt;0,AP$5&amp;", ","")&amp;IF(AQ336&lt;&gt;0,AQ$5&amp;", ","")&amp;IF(AR336&lt;&gt;0,AR$5,"")&amp;IF(AS336&lt;&gt;0,AS$5,"")&amp;IF(AT336&lt;&gt;0,AT$5,"")&amp;IF(AU336&lt;&gt;0,AU$5,"")</f>
        <v xml:space="preserve">HNK, NTS, DGT, NTD, ONT, SON, </v>
      </c>
      <c r="L336" s="413" t="str">
        <f t="shared" si="46"/>
        <v>HNK:0,63;NTS:6,01;DGT:0,49;NTD:0,06;ONT:1,84;SON:1,67;</v>
      </c>
      <c r="M336" s="347"/>
      <c r="N336" s="347"/>
      <c r="O336" s="347">
        <v>0.63</v>
      </c>
      <c r="P336" s="347"/>
      <c r="Q336" s="347">
        <v>6.01</v>
      </c>
      <c r="R336" s="347"/>
      <c r="S336" s="347"/>
      <c r="T336" s="347"/>
      <c r="U336" s="347"/>
      <c r="V336" s="347"/>
      <c r="W336" s="347">
        <v>0.49</v>
      </c>
      <c r="X336" s="347"/>
      <c r="Y336" s="347"/>
      <c r="Z336" s="347"/>
      <c r="AA336" s="347"/>
      <c r="AB336" s="347"/>
      <c r="AC336" s="347"/>
      <c r="AD336" s="347"/>
      <c r="AE336" s="347"/>
      <c r="AF336" s="347"/>
      <c r="AG336" s="347"/>
      <c r="AH336" s="347">
        <v>0.06</v>
      </c>
      <c r="AI336" s="347"/>
      <c r="AJ336" s="347"/>
      <c r="AK336" s="347"/>
      <c r="AL336" s="347">
        <v>1.84</v>
      </c>
      <c r="AM336" s="347"/>
      <c r="AN336" s="347"/>
      <c r="AO336" s="347"/>
      <c r="AP336" s="347"/>
      <c r="AQ336" s="347">
        <v>1.67</v>
      </c>
      <c r="AR336" s="347"/>
      <c r="AS336" s="347"/>
      <c r="AT336" s="347"/>
      <c r="AU336" s="347"/>
      <c r="AV336" s="346" t="s">
        <v>266</v>
      </c>
      <c r="AW336" s="346" t="s">
        <v>266</v>
      </c>
      <c r="AX336" s="432" t="s">
        <v>319</v>
      </c>
      <c r="AY336" s="433" t="s">
        <v>319</v>
      </c>
      <c r="AZ336" s="434" t="s">
        <v>1550</v>
      </c>
      <c r="BA336" s="432"/>
      <c r="BB336" s="432" t="s">
        <v>539</v>
      </c>
      <c r="BC336" s="478" t="s">
        <v>267</v>
      </c>
      <c r="BD336" s="478"/>
      <c r="BE336" s="478"/>
      <c r="BF336" s="478" t="s">
        <v>263</v>
      </c>
      <c r="BG336" s="478"/>
      <c r="BH336" s="432"/>
    </row>
    <row r="337" spans="1:62" ht="46.5" customHeight="1">
      <c r="A337" s="344">
        <f>SUBTOTAL(3,C$11:$C337)</f>
        <v>235</v>
      </c>
      <c r="B337" s="337" t="s">
        <v>801</v>
      </c>
      <c r="C337" s="338" t="s">
        <v>56</v>
      </c>
      <c r="D337" s="339">
        <v>11.82</v>
      </c>
      <c r="E337" s="347"/>
      <c r="F337" s="347">
        <v>11.82</v>
      </c>
      <c r="G337" s="414">
        <f t="shared" si="41"/>
        <v>11.819999999999999</v>
      </c>
      <c r="H337" s="413" t="s">
        <v>1545</v>
      </c>
      <c r="I337" s="413" t="s">
        <v>1551</v>
      </c>
      <c r="J337" s="413" t="s">
        <v>1018</v>
      </c>
      <c r="K337" s="413" t="str">
        <f t="shared" si="47"/>
        <v xml:space="preserve">HNK, NTS, ONT, </v>
      </c>
      <c r="L337" s="413" t="str">
        <f t="shared" si="46"/>
        <v>HNK:0,61;NTS:9,12;ONT:2,09;</v>
      </c>
      <c r="M337" s="347"/>
      <c r="N337" s="347"/>
      <c r="O337" s="347">
        <v>0.61</v>
      </c>
      <c r="P337" s="347"/>
      <c r="Q337" s="347">
        <v>9.1199999999999992</v>
      </c>
      <c r="R337" s="347"/>
      <c r="S337" s="347"/>
      <c r="T337" s="347"/>
      <c r="U337" s="347"/>
      <c r="V337" s="347"/>
      <c r="W337" s="347"/>
      <c r="X337" s="347"/>
      <c r="Y337" s="347"/>
      <c r="Z337" s="347"/>
      <c r="AA337" s="347"/>
      <c r="AB337" s="347"/>
      <c r="AC337" s="347"/>
      <c r="AD337" s="347"/>
      <c r="AE337" s="347"/>
      <c r="AF337" s="347"/>
      <c r="AG337" s="347"/>
      <c r="AH337" s="347"/>
      <c r="AI337" s="347"/>
      <c r="AJ337" s="347"/>
      <c r="AK337" s="347"/>
      <c r="AL337" s="347">
        <v>2.09</v>
      </c>
      <c r="AM337" s="347"/>
      <c r="AN337" s="347"/>
      <c r="AO337" s="347"/>
      <c r="AP337" s="347"/>
      <c r="AQ337" s="347"/>
      <c r="AR337" s="347"/>
      <c r="AS337" s="347"/>
      <c r="AT337" s="347"/>
      <c r="AU337" s="347"/>
      <c r="AV337" s="346" t="s">
        <v>292</v>
      </c>
      <c r="AW337" s="346" t="s">
        <v>292</v>
      </c>
      <c r="AX337" s="351" t="s">
        <v>332</v>
      </c>
      <c r="AY337" s="260" t="s">
        <v>332</v>
      </c>
      <c r="AZ337" s="181" t="s">
        <v>1552</v>
      </c>
      <c r="BA337" s="351" t="s">
        <v>802</v>
      </c>
      <c r="BB337" s="351" t="s">
        <v>803</v>
      </c>
      <c r="BC337" s="156" t="s">
        <v>270</v>
      </c>
      <c r="BD337" s="156"/>
      <c r="BE337" s="156"/>
      <c r="BF337" s="156"/>
      <c r="BG337" s="156" t="s">
        <v>263</v>
      </c>
      <c r="BH337" s="351" t="s">
        <v>804</v>
      </c>
    </row>
    <row r="338" spans="1:62" ht="46.5" customHeight="1">
      <c r="A338" s="344">
        <f>SUBTOTAL(3,C$11:$C338)</f>
        <v>236</v>
      </c>
      <c r="B338" s="337" t="s">
        <v>805</v>
      </c>
      <c r="C338" s="338" t="s">
        <v>56</v>
      </c>
      <c r="D338" s="339">
        <v>10.5</v>
      </c>
      <c r="E338" s="347"/>
      <c r="F338" s="339">
        <v>10.5</v>
      </c>
      <c r="G338" s="414">
        <f t="shared" si="41"/>
        <v>10.549999999999999</v>
      </c>
      <c r="H338" s="413" t="s">
        <v>1545</v>
      </c>
      <c r="I338" s="413" t="s">
        <v>1553</v>
      </c>
      <c r="J338" s="413" t="s">
        <v>1018</v>
      </c>
      <c r="K338" s="413" t="str">
        <f t="shared" si="47"/>
        <v xml:space="preserve">LUK, CLN, NTS, NTD, ONT, </v>
      </c>
      <c r="L338" s="413" t="str">
        <f t="shared" si="46"/>
        <v>LUK:0,29;CLN:1,72;NTS:7,32;NTD:0,12;ONT:1,1;</v>
      </c>
      <c r="M338" s="347"/>
      <c r="N338" s="347">
        <v>0.28999999999999998</v>
      </c>
      <c r="O338" s="347"/>
      <c r="P338" s="347">
        <v>1.72</v>
      </c>
      <c r="Q338" s="347">
        <v>7.32</v>
      </c>
      <c r="R338" s="347"/>
      <c r="S338" s="347"/>
      <c r="T338" s="347"/>
      <c r="U338" s="347"/>
      <c r="V338" s="347"/>
      <c r="W338" s="347"/>
      <c r="X338" s="347"/>
      <c r="Y338" s="347"/>
      <c r="Z338" s="347"/>
      <c r="AA338" s="347"/>
      <c r="AB338" s="347"/>
      <c r="AC338" s="347"/>
      <c r="AD338" s="347"/>
      <c r="AE338" s="347"/>
      <c r="AF338" s="347"/>
      <c r="AG338" s="347"/>
      <c r="AH338" s="347">
        <v>0.12</v>
      </c>
      <c r="AI338" s="347"/>
      <c r="AJ338" s="347"/>
      <c r="AK338" s="347"/>
      <c r="AL338" s="347">
        <v>1.1000000000000001</v>
      </c>
      <c r="AM338" s="347"/>
      <c r="AN338" s="347"/>
      <c r="AO338" s="347"/>
      <c r="AP338" s="347"/>
      <c r="AQ338" s="347"/>
      <c r="AR338" s="347"/>
      <c r="AS338" s="347"/>
      <c r="AT338" s="347"/>
      <c r="AU338" s="347"/>
      <c r="AV338" s="346" t="s">
        <v>292</v>
      </c>
      <c r="AW338" s="346" t="s">
        <v>292</v>
      </c>
      <c r="AX338" s="351" t="s">
        <v>332</v>
      </c>
      <c r="AY338" s="260" t="s">
        <v>332</v>
      </c>
      <c r="AZ338" s="181" t="s">
        <v>1554</v>
      </c>
      <c r="BA338" s="351" t="s">
        <v>1555</v>
      </c>
      <c r="BB338" s="351" t="s">
        <v>806</v>
      </c>
      <c r="BC338" s="156" t="s">
        <v>270</v>
      </c>
      <c r="BD338" s="156"/>
      <c r="BE338" s="156"/>
      <c r="BF338" s="156"/>
      <c r="BG338" s="156" t="s">
        <v>263</v>
      </c>
      <c r="BH338" s="351" t="s">
        <v>807</v>
      </c>
    </row>
    <row r="339" spans="1:62" ht="46.5" customHeight="1">
      <c r="A339" s="344">
        <f>SUBTOTAL(3,C$11:$C339)</f>
        <v>237</v>
      </c>
      <c r="B339" s="337" t="s">
        <v>808</v>
      </c>
      <c r="C339" s="338" t="s">
        <v>56</v>
      </c>
      <c r="D339" s="339">
        <v>10.5</v>
      </c>
      <c r="E339" s="347"/>
      <c r="F339" s="339">
        <v>10.5</v>
      </c>
      <c r="G339" s="414">
        <f t="shared" si="41"/>
        <v>10.53</v>
      </c>
      <c r="H339" s="413" t="s">
        <v>1545</v>
      </c>
      <c r="I339" s="413" t="s">
        <v>1556</v>
      </c>
      <c r="J339" s="413" t="s">
        <v>1018</v>
      </c>
      <c r="K339" s="413" t="str">
        <f t="shared" si="47"/>
        <v xml:space="preserve">LUK, CLN, NTS, ONT, SON, </v>
      </c>
      <c r="L339" s="413" t="str">
        <f t="shared" si="46"/>
        <v>LUK:1,63;CLN:0,84;NTS:5,79;ONT:1,11;SON:1,16;</v>
      </c>
      <c r="M339" s="347"/>
      <c r="N339" s="347">
        <v>1.63</v>
      </c>
      <c r="O339" s="347"/>
      <c r="P339" s="347">
        <v>0.84</v>
      </c>
      <c r="Q339" s="347">
        <v>5.79</v>
      </c>
      <c r="R339" s="347"/>
      <c r="S339" s="347"/>
      <c r="T339" s="347"/>
      <c r="U339" s="347"/>
      <c r="V339" s="347"/>
      <c r="W339" s="347"/>
      <c r="X339" s="347"/>
      <c r="Y339" s="347"/>
      <c r="Z339" s="347"/>
      <c r="AA339" s="347"/>
      <c r="AB339" s="347"/>
      <c r="AC339" s="347"/>
      <c r="AD339" s="347"/>
      <c r="AE339" s="347"/>
      <c r="AF339" s="347"/>
      <c r="AG339" s="347"/>
      <c r="AH339" s="347"/>
      <c r="AI339" s="347"/>
      <c r="AJ339" s="347"/>
      <c r="AK339" s="347"/>
      <c r="AL339" s="347">
        <v>1.1100000000000001</v>
      </c>
      <c r="AM339" s="347"/>
      <c r="AN339" s="347"/>
      <c r="AO339" s="347"/>
      <c r="AP339" s="347"/>
      <c r="AQ339" s="347">
        <v>1.1599999999999999</v>
      </c>
      <c r="AR339" s="347"/>
      <c r="AS339" s="347"/>
      <c r="AT339" s="347"/>
      <c r="AU339" s="347"/>
      <c r="AV339" s="346" t="s">
        <v>292</v>
      </c>
      <c r="AW339" s="346" t="s">
        <v>292</v>
      </c>
      <c r="AX339" s="351" t="s">
        <v>342</v>
      </c>
      <c r="AY339" s="260" t="s">
        <v>342</v>
      </c>
      <c r="AZ339" s="181" t="s">
        <v>1557</v>
      </c>
      <c r="BA339" s="351" t="s">
        <v>1555</v>
      </c>
      <c r="BB339" s="351" t="s">
        <v>809</v>
      </c>
      <c r="BC339" s="156" t="s">
        <v>270</v>
      </c>
      <c r="BD339" s="156"/>
      <c r="BE339" s="156"/>
      <c r="BF339" s="156"/>
      <c r="BG339" s="156" t="s">
        <v>263</v>
      </c>
      <c r="BH339" s="351" t="s">
        <v>810</v>
      </c>
    </row>
    <row r="340" spans="1:62" ht="46.5" customHeight="1">
      <c r="A340" s="344">
        <f>SUBTOTAL(3,C$11:$C340)</f>
        <v>238</v>
      </c>
      <c r="B340" s="337" t="s">
        <v>811</v>
      </c>
      <c r="C340" s="338" t="s">
        <v>56</v>
      </c>
      <c r="D340" s="339">
        <v>10.5</v>
      </c>
      <c r="E340" s="347"/>
      <c r="F340" s="339">
        <v>10.5</v>
      </c>
      <c r="G340" s="414">
        <f t="shared" si="41"/>
        <v>10.51</v>
      </c>
      <c r="H340" s="413" t="s">
        <v>1545</v>
      </c>
      <c r="I340" s="413" t="s">
        <v>1558</v>
      </c>
      <c r="J340" s="413" t="s">
        <v>1018</v>
      </c>
      <c r="K340" s="413" t="str">
        <f t="shared" si="47"/>
        <v xml:space="preserve">LUK, CLN, NTS, ONT, </v>
      </c>
      <c r="L340" s="413" t="str">
        <f t="shared" si="46"/>
        <v>LUK:1,12;CLN:2,84;NTS:5,74;ONT:0,81;</v>
      </c>
      <c r="M340" s="347"/>
      <c r="N340" s="347">
        <v>1.1200000000000001</v>
      </c>
      <c r="O340" s="347"/>
      <c r="P340" s="347">
        <v>2.84</v>
      </c>
      <c r="Q340" s="347">
        <v>5.74</v>
      </c>
      <c r="R340" s="347"/>
      <c r="S340" s="347"/>
      <c r="T340" s="347"/>
      <c r="U340" s="347"/>
      <c r="V340" s="347"/>
      <c r="W340" s="347"/>
      <c r="X340" s="347"/>
      <c r="Y340" s="347"/>
      <c r="Z340" s="347"/>
      <c r="AA340" s="347"/>
      <c r="AB340" s="347"/>
      <c r="AC340" s="347"/>
      <c r="AD340" s="347"/>
      <c r="AE340" s="347"/>
      <c r="AF340" s="347"/>
      <c r="AG340" s="347"/>
      <c r="AH340" s="347"/>
      <c r="AI340" s="347"/>
      <c r="AJ340" s="347"/>
      <c r="AK340" s="347"/>
      <c r="AL340" s="347">
        <v>0.81</v>
      </c>
      <c r="AM340" s="347"/>
      <c r="AN340" s="347"/>
      <c r="AO340" s="347"/>
      <c r="AP340" s="347"/>
      <c r="AQ340" s="347"/>
      <c r="AR340" s="347"/>
      <c r="AS340" s="347"/>
      <c r="AT340" s="347"/>
      <c r="AU340" s="347"/>
      <c r="AV340" s="346" t="s">
        <v>292</v>
      </c>
      <c r="AW340" s="346" t="s">
        <v>292</v>
      </c>
      <c r="AX340" s="351" t="s">
        <v>426</v>
      </c>
      <c r="AY340" s="260" t="s">
        <v>426</v>
      </c>
      <c r="AZ340" s="181" t="s">
        <v>1559</v>
      </c>
      <c r="BA340" s="351" t="s">
        <v>1555</v>
      </c>
      <c r="BB340" s="351" t="s">
        <v>812</v>
      </c>
      <c r="BC340" s="156" t="s">
        <v>270</v>
      </c>
      <c r="BD340" s="156"/>
      <c r="BE340" s="156"/>
      <c r="BF340" s="156"/>
      <c r="BG340" s="156" t="s">
        <v>263</v>
      </c>
      <c r="BH340" s="351" t="s">
        <v>813</v>
      </c>
    </row>
    <row r="341" spans="1:62" s="663" customFormat="1" ht="35.15" customHeight="1">
      <c r="A341" s="669">
        <f>SUBTOTAL(3,C$11:$C341)</f>
        <v>239</v>
      </c>
      <c r="B341" s="678" t="s">
        <v>814</v>
      </c>
      <c r="C341" s="679" t="s">
        <v>56</v>
      </c>
      <c r="D341" s="654">
        <v>51.68</v>
      </c>
      <c r="E341" s="680"/>
      <c r="F341" s="680">
        <v>51.68</v>
      </c>
      <c r="G341" s="655">
        <f t="shared" si="41"/>
        <v>50</v>
      </c>
      <c r="H341" s="656" t="s">
        <v>87</v>
      </c>
      <c r="I341" s="656" t="s">
        <v>87</v>
      </c>
      <c r="J341" s="656"/>
      <c r="K341" s="656" t="str">
        <f t="shared" si="47"/>
        <v xml:space="preserve">SKN, </v>
      </c>
      <c r="L341" s="656" t="str">
        <f t="shared" si="46"/>
        <v>SKN:50;</v>
      </c>
      <c r="M341" s="680"/>
      <c r="N341" s="680"/>
      <c r="O341" s="680"/>
      <c r="P341" s="680"/>
      <c r="Q341" s="680"/>
      <c r="R341" s="680"/>
      <c r="S341" s="680"/>
      <c r="T341" s="680">
        <v>50</v>
      </c>
      <c r="U341" s="680"/>
      <c r="V341" s="680"/>
      <c r="W341" s="680"/>
      <c r="X341" s="680"/>
      <c r="Y341" s="680"/>
      <c r="Z341" s="680"/>
      <c r="AA341" s="680"/>
      <c r="AB341" s="680"/>
      <c r="AC341" s="680"/>
      <c r="AD341" s="680"/>
      <c r="AE341" s="680"/>
      <c r="AF341" s="680"/>
      <c r="AG341" s="680"/>
      <c r="AH341" s="680"/>
      <c r="AI341" s="680"/>
      <c r="AJ341" s="680"/>
      <c r="AK341" s="680"/>
      <c r="AL341" s="680"/>
      <c r="AM341" s="680"/>
      <c r="AN341" s="680"/>
      <c r="AO341" s="680"/>
      <c r="AP341" s="680"/>
      <c r="AQ341" s="680"/>
      <c r="AR341" s="680"/>
      <c r="AS341" s="680"/>
      <c r="AT341" s="680"/>
      <c r="AU341" s="680"/>
      <c r="AV341" s="679" t="s">
        <v>292</v>
      </c>
      <c r="AW341" s="679" t="s">
        <v>292</v>
      </c>
      <c r="AX341" s="657" t="s">
        <v>332</v>
      </c>
      <c r="AY341" s="659" t="s">
        <v>332</v>
      </c>
      <c r="AZ341" s="660" t="s">
        <v>1560</v>
      </c>
      <c r="BA341" s="657" t="s">
        <v>815</v>
      </c>
      <c r="BB341" s="657"/>
      <c r="BC341" s="681" t="s">
        <v>267</v>
      </c>
      <c r="BD341" s="681"/>
      <c r="BE341" s="681"/>
      <c r="BF341" s="681"/>
      <c r="BG341" s="681" t="s">
        <v>263</v>
      </c>
      <c r="BH341" s="657"/>
      <c r="BI341" s="662"/>
      <c r="BJ341" s="662" t="s">
        <v>252</v>
      </c>
    </row>
    <row r="342" spans="1:62" ht="24.75" customHeight="1">
      <c r="A342" s="611">
        <f>SUBTOTAL(3,C$11:$C342)</f>
        <v>240</v>
      </c>
      <c r="B342" s="625" t="s">
        <v>816</v>
      </c>
      <c r="C342" s="607" t="s">
        <v>729</v>
      </c>
      <c r="D342" s="598">
        <v>412.8</v>
      </c>
      <c r="E342" s="633"/>
      <c r="F342" s="598">
        <v>412.8</v>
      </c>
      <c r="G342" s="414">
        <v>154.77000000000001</v>
      </c>
      <c r="H342" s="606" t="s">
        <v>1545</v>
      </c>
      <c r="I342" s="413" t="s">
        <v>984</v>
      </c>
      <c r="J342" s="413" t="s">
        <v>1139</v>
      </c>
      <c r="K342" s="413" t="e">
        <f t="shared" si="47"/>
        <v>#REF!</v>
      </c>
      <c r="L342" s="413" t="e">
        <f t="shared" si="46"/>
        <v>#REF!</v>
      </c>
      <c r="M342" s="339" t="e">
        <f>#REF!+#REF!</f>
        <v>#REF!</v>
      </c>
      <c r="N342" s="339" t="e">
        <f>#REF!+#REF!</f>
        <v>#REF!</v>
      </c>
      <c r="O342" s="339"/>
      <c r="P342" s="339"/>
      <c r="Q342" s="339"/>
      <c r="R342" s="339"/>
      <c r="S342" s="339"/>
      <c r="T342" s="339"/>
      <c r="U342" s="339"/>
      <c r="V342" s="339"/>
      <c r="W342" s="339"/>
      <c r="X342" s="339"/>
      <c r="Y342" s="339"/>
      <c r="Z342" s="339"/>
      <c r="AA342" s="339"/>
      <c r="AB342" s="339"/>
      <c r="AC342" s="339"/>
      <c r="AD342" s="339"/>
      <c r="AE342" s="339"/>
      <c r="AF342" s="339"/>
      <c r="AG342" s="339"/>
      <c r="AH342" s="339"/>
      <c r="AI342" s="339"/>
      <c r="AJ342" s="339"/>
      <c r="AK342" s="339"/>
      <c r="AL342" s="339" t="e">
        <f>#REF!+#REF!</f>
        <v>#REF!</v>
      </c>
      <c r="AM342" s="339"/>
      <c r="AN342" s="339"/>
      <c r="AO342" s="339"/>
      <c r="AP342" s="339"/>
      <c r="AQ342" s="339"/>
      <c r="AR342" s="339"/>
      <c r="AS342" s="339"/>
      <c r="AT342" s="339"/>
      <c r="AU342" s="339"/>
      <c r="AV342" s="607" t="s">
        <v>1561</v>
      </c>
      <c r="AW342" s="346" t="s">
        <v>295</v>
      </c>
      <c r="AX342" s="605" t="s">
        <v>1562</v>
      </c>
      <c r="AY342" s="260" t="s">
        <v>1563</v>
      </c>
      <c r="AZ342" s="631" t="s">
        <v>1564</v>
      </c>
      <c r="BA342" s="350"/>
      <c r="BB342" s="350"/>
      <c r="BC342" s="627" t="s">
        <v>267</v>
      </c>
      <c r="BD342" s="341"/>
      <c r="BE342" s="341"/>
      <c r="BF342" s="341" t="s">
        <v>263</v>
      </c>
      <c r="BG342" s="341"/>
      <c r="BH342" s="350"/>
    </row>
    <row r="343" spans="1:62" ht="24.75" customHeight="1">
      <c r="A343" s="611"/>
      <c r="B343" s="625"/>
      <c r="C343" s="607"/>
      <c r="D343" s="598"/>
      <c r="E343" s="633"/>
      <c r="F343" s="598"/>
      <c r="G343" s="414">
        <v>258.02999999999997</v>
      </c>
      <c r="H343" s="606"/>
      <c r="I343" s="413" t="s">
        <v>41</v>
      </c>
      <c r="J343" s="413" t="s">
        <v>1565</v>
      </c>
      <c r="K343" s="413" t="str">
        <f t="shared" si="47"/>
        <v>DHT</v>
      </c>
      <c r="L343" s="413" t="str">
        <f t="shared" si="46"/>
        <v>DHT:257,93;</v>
      </c>
      <c r="M343" s="339"/>
      <c r="N343" s="339"/>
      <c r="O343" s="339"/>
      <c r="P343" s="339"/>
      <c r="Q343" s="339"/>
      <c r="R343" s="339"/>
      <c r="S343" s="339"/>
      <c r="T343" s="339"/>
      <c r="U343" s="339"/>
      <c r="V343" s="339"/>
      <c r="W343" s="339"/>
      <c r="X343" s="339"/>
      <c r="Y343" s="339"/>
      <c r="Z343" s="339"/>
      <c r="AA343" s="339"/>
      <c r="AB343" s="339"/>
      <c r="AC343" s="339"/>
      <c r="AD343" s="339"/>
      <c r="AE343" s="339"/>
      <c r="AF343" s="339"/>
      <c r="AG343" s="339"/>
      <c r="AH343" s="339"/>
      <c r="AI343" s="339"/>
      <c r="AJ343" s="339"/>
      <c r="AK343" s="339"/>
      <c r="AL343" s="339"/>
      <c r="AM343" s="339"/>
      <c r="AN343" s="339"/>
      <c r="AO343" s="339"/>
      <c r="AP343" s="339"/>
      <c r="AQ343" s="339"/>
      <c r="AR343" s="339"/>
      <c r="AS343" s="339"/>
      <c r="AT343" s="339"/>
      <c r="AU343" s="339">
        <v>257.93</v>
      </c>
      <c r="AV343" s="607"/>
      <c r="AW343" s="346" t="s">
        <v>370</v>
      </c>
      <c r="AX343" s="605"/>
      <c r="AY343" s="356" t="s">
        <v>1566</v>
      </c>
      <c r="AZ343" s="631"/>
      <c r="BA343" s="350" t="s">
        <v>817</v>
      </c>
      <c r="BB343" s="350"/>
      <c r="BC343" s="628"/>
      <c r="BD343" s="343"/>
      <c r="BE343" s="343"/>
      <c r="BF343" s="343" t="s">
        <v>263</v>
      </c>
      <c r="BG343" s="343"/>
      <c r="BH343" s="350"/>
    </row>
    <row r="344" spans="1:62" ht="75" customHeight="1">
      <c r="A344" s="611">
        <f>SUBTOTAL(3,C$11:$C344)</f>
        <v>241</v>
      </c>
      <c r="B344" s="625" t="s">
        <v>818</v>
      </c>
      <c r="C344" s="607" t="s">
        <v>56</v>
      </c>
      <c r="D344" s="612">
        <v>127.39</v>
      </c>
      <c r="E344" s="633"/>
      <c r="F344" s="347">
        <f>F345+F346+F347</f>
        <v>127.39</v>
      </c>
      <c r="G344" s="414"/>
      <c r="H344" s="413" t="s">
        <v>1567</v>
      </c>
      <c r="I344" s="413"/>
      <c r="J344" s="413"/>
      <c r="K344" s="413"/>
      <c r="L344" s="413"/>
      <c r="M344" s="339"/>
      <c r="N344" s="339"/>
      <c r="O344" s="339"/>
      <c r="P344" s="339"/>
      <c r="Q344" s="339"/>
      <c r="R344" s="339"/>
      <c r="S344" s="339"/>
      <c r="T344" s="339"/>
      <c r="U344" s="339"/>
      <c r="V344" s="339"/>
      <c r="W344" s="339"/>
      <c r="X344" s="339"/>
      <c r="Y344" s="339"/>
      <c r="Z344" s="339"/>
      <c r="AA344" s="339"/>
      <c r="AB344" s="339"/>
      <c r="AC344" s="339"/>
      <c r="AD344" s="339"/>
      <c r="AE344" s="339"/>
      <c r="AF344" s="339"/>
      <c r="AG344" s="339"/>
      <c r="AH344" s="339"/>
      <c r="AI344" s="339"/>
      <c r="AJ344" s="339"/>
      <c r="AK344" s="339"/>
      <c r="AL344" s="339"/>
      <c r="AM344" s="339"/>
      <c r="AN344" s="339"/>
      <c r="AO344" s="339"/>
      <c r="AP344" s="339"/>
      <c r="AQ344" s="339"/>
      <c r="AR344" s="339"/>
      <c r="AS344" s="339"/>
      <c r="AT344" s="339"/>
      <c r="AU344" s="339"/>
      <c r="AV344" s="346" t="s">
        <v>1568</v>
      </c>
      <c r="AW344" s="346"/>
      <c r="AX344" s="351" t="s">
        <v>1569</v>
      </c>
      <c r="AY344" s="356"/>
      <c r="AZ344" s="352"/>
      <c r="BA344" s="350"/>
      <c r="BB344" s="350"/>
      <c r="BC344" s="342"/>
      <c r="BD344" s="342"/>
      <c r="BE344" s="342"/>
      <c r="BF344" s="342"/>
      <c r="BG344" s="342"/>
      <c r="BH344" s="350"/>
    </row>
    <row r="345" spans="1:62" ht="55.5" customHeight="1">
      <c r="A345" s="611"/>
      <c r="B345" s="625"/>
      <c r="C345" s="607"/>
      <c r="D345" s="612"/>
      <c r="E345" s="633"/>
      <c r="F345" s="351">
        <v>28.89</v>
      </c>
      <c r="G345" s="414">
        <f t="shared" ref="G345:G355" si="48">SUM(M345:AR345)</f>
        <v>28.887816000000001</v>
      </c>
      <c r="H345" s="413" t="s">
        <v>1570</v>
      </c>
      <c r="I345" s="413" t="s">
        <v>1571</v>
      </c>
      <c r="J345" s="413" t="s">
        <v>1570</v>
      </c>
      <c r="K345" s="413" t="str">
        <f>IF(M345&lt;&gt;0,$M$5&amp;", ","")&amp;IF(N345&lt;&gt;0,$N$5&amp;", ","")&amp;IF(O345&lt;&gt;0,O$5&amp;", ","")&amp;IF(P345&lt;&gt;0,P$5&amp;", ","")&amp;IF(Q345&lt;&gt;0,Q$5&amp;", ","")&amp;IF(R345&lt;&gt;0,R$5&amp;", ","")&amp;IF(S345&lt;&gt;0,S$5&amp;", ","")&amp;IF(T345&lt;&gt;0,T$5&amp;", ","")&amp;IF(U345&lt;&gt;0,U$5&amp;", ","")&amp;IF(V345&lt;&gt;0,V$5&amp;", ","")&amp;IF(W345&lt;&gt;0,W$5&amp;", ","")&amp;IF(X345&lt;&gt;0,X$5&amp;", ","")&amp;IF(Y345&lt;&gt;0,Y$5&amp;", ","")&amp;IF(Z345&lt;&gt;0,Z$5&amp;", ","")&amp;IF(AA345&lt;&gt;0,AA$5&amp;", ","")&amp;IF(AB345&lt;&gt;0,AB$5&amp;", ","")&amp;IF(AC345&lt;&gt;0,AC$5&amp;", ","")&amp;IF(AD345&lt;&gt;0,AD$5&amp;", ","")&amp;IF(AE345&lt;&gt;0,AE$5&amp;", ","")&amp;IF(AF345&lt;&gt;0,AF$5&amp;", ","")&amp;IF(AG345&lt;&gt;0,AG$5&amp;", ","")&amp;IF(AH345&lt;&gt;0,AH$5&amp;", ","")&amp;IF(AI345&lt;&gt;0,AI$5&amp;", ","")&amp;IF(AJ345&lt;&gt;0,AJ$5&amp;", ","")&amp;IF(AK345&lt;&gt;0,AK$5&amp;", ","")&amp;IF(AL345&lt;&gt;0,AL$5&amp;", ","")&amp;IF(AM345&lt;&gt;0,AM$5&amp;", ","")&amp;IF(AN345&lt;&gt;0,AN$5&amp;", ","")&amp;IF(AO345&lt;&gt;0,AO$5&amp;", ","")&amp;IF(AP345&lt;&gt;0,AP$5&amp;", ","")&amp;IF(AQ345&lt;&gt;0,AQ$5&amp;", ","")&amp;IF(AR345&lt;&gt;0,AR$5,"")&amp;IF(AS345&lt;&gt;0,AS$5,"")&amp;IF(AT345&lt;&gt;0,AT$5,"")&amp;IF(AU345&lt;&gt;0,AU$5,"")</f>
        <v xml:space="preserve">LUC, HNK, CLN, NTS, SKC, DGT, NTD, ONT, SON, </v>
      </c>
      <c r="L345" s="413" t="str">
        <f>IF(M345="","",$M$5&amp;":"&amp;M345&amp;";")&amp;IF(N345="","",$N$5&amp;":"&amp;N345&amp;";")&amp;IF(O345="","",$O$5&amp;":"&amp;O345&amp;";")&amp;IF(P345="","",$P$5&amp;":"&amp;P345&amp;";")&amp;IF(Q345="","",$Q$5&amp;":"&amp;Q345&amp;";")&amp;IF(R345="","",$R$5&amp;":"&amp;R345&amp;";")&amp;IF(S345="","",$S$5&amp;":"&amp;S345&amp;";")&amp;IF(T345="","",$T$5&amp;":"&amp;T345&amp;";")&amp;IF(U345="","",$U$5&amp;":"&amp;U345&amp;";")&amp;IF(V345="","",$V$5&amp;":"&amp;V345&amp;";")&amp;IF(W345="","",$W$5&amp;":"&amp;W345&amp;";")&amp;IF(X345="","",$X$5&amp;":"&amp;X345&amp;";")&amp;IF(Y345="","",$Y$5&amp;":"&amp;Y345&amp;";")&amp;IF(Z345="","",$Z$5&amp;":"&amp;Z345&amp;";")&amp;IF(AA345="","",$AA$5&amp;":"&amp;AA345&amp;";")&amp;IF(AB345="","",$AB$5&amp;":"&amp;AB345&amp;";")&amp;IF(AC345="","",$AC$5&amp;":"&amp;AC345&amp;";")&amp;IF(AD345="","",$AD$5&amp;":"&amp;AD345&amp;";")&amp;IF(AE345="","",$AE$5&amp;":"&amp;AE345&amp;";")&amp;IF(AF345="","",$AF$5&amp;":"&amp;AF345&amp;";")&amp;IF(AG345="","",$AG$5&amp;":"&amp;AG345&amp;";")&amp;IF(AH345="","",$AH$5&amp;":"&amp;AH345&amp;";")&amp;IF(AI345="","",$AI$5&amp;":"&amp;AI345&amp;";")&amp;IF(AJ345="","",$AJ$5&amp;":"&amp;AJ345&amp;";")&amp;IF(AK345="","",$AK$5&amp;":"&amp;AK345&amp;";")&amp;IF(AL345="","",$AL$5&amp;":"&amp;AL345&amp;";")&amp;IF(AM345="","",$AM$5&amp;":"&amp;AM345&amp;";")&amp;IF(AN345="","",$AN$5&amp;":"&amp;AN345&amp;";")&amp;IF(AO345="","",$AO$5&amp;":"&amp;AO345&amp;";")&amp;IF(AP345="","",$AP$5&amp;":"&amp;AP345&amp;";")&amp;IF(AQ345="","",$AQ$5&amp;":"&amp;AQ345&amp;";")&amp;IF(AR345="","",$AR$5&amp;":"&amp;AR345&amp;";")&amp;IF(AS345="","",$AS$5&amp;":"&amp;AS345&amp;";")&amp;IF(AT345="","",$AT$5&amp;":"&amp;AT345&amp;";")&amp;IF(AU345="","",$AU$5&amp;":"&amp;AU345&amp;";")</f>
        <v>LUC:14,220384;HNK:2,432154;CLN:0,313998;NTS:0,303354;SKC:0,090474;DGT:0,569454;NTD:0,202236;ONT:10,612068;SON:0,143694;</v>
      </c>
      <c r="M345" s="174">
        <f>26.72*53.22%</f>
        <v>14.220383999999999</v>
      </c>
      <c r="N345" s="351"/>
      <c r="O345" s="351">
        <f>4.57*53.22%</f>
        <v>2.4321540000000001</v>
      </c>
      <c r="P345" s="351">
        <f>0.59*53.22%</f>
        <v>0.313998</v>
      </c>
      <c r="Q345" s="351">
        <f>0.57*53.22%</f>
        <v>0.30335399999999996</v>
      </c>
      <c r="R345" s="351"/>
      <c r="S345" s="351"/>
      <c r="T345" s="351"/>
      <c r="U345" s="351"/>
      <c r="V345" s="351">
        <f>0.17*53.22%</f>
        <v>9.0474000000000013E-2</v>
      </c>
      <c r="W345" s="351">
        <f>1.07*53.22%</f>
        <v>0.56945400000000002</v>
      </c>
      <c r="X345" s="351"/>
      <c r="Y345" s="351"/>
      <c r="Z345" s="351"/>
      <c r="AA345" s="351"/>
      <c r="AB345" s="351"/>
      <c r="AC345" s="351"/>
      <c r="AD345" s="351"/>
      <c r="AE345" s="351"/>
      <c r="AF345" s="351"/>
      <c r="AG345" s="351"/>
      <c r="AH345" s="351">
        <f>0.38*53.22%</f>
        <v>0.202236</v>
      </c>
      <c r="AI345" s="351"/>
      <c r="AJ345" s="351"/>
      <c r="AK345" s="351"/>
      <c r="AL345" s="351">
        <f>19.94*53.22%</f>
        <v>10.612068000000001</v>
      </c>
      <c r="AM345" s="351"/>
      <c r="AN345" s="351"/>
      <c r="AO345" s="351"/>
      <c r="AP345" s="351"/>
      <c r="AQ345" s="351">
        <f>0.27*53.22%</f>
        <v>0.14369400000000002</v>
      </c>
      <c r="AR345" s="351"/>
      <c r="AS345" s="351"/>
      <c r="AT345" s="351"/>
      <c r="AU345" s="351"/>
      <c r="AV345" s="351" t="s">
        <v>306</v>
      </c>
      <c r="AW345" s="351" t="s">
        <v>306</v>
      </c>
      <c r="AX345" s="186" t="s">
        <v>1572</v>
      </c>
      <c r="AY345" s="264" t="s">
        <v>1572</v>
      </c>
      <c r="AZ345" s="352" t="s">
        <v>1573</v>
      </c>
      <c r="BA345" s="350"/>
      <c r="BB345" s="350"/>
      <c r="BC345" s="627" t="s">
        <v>316</v>
      </c>
      <c r="BD345" s="341"/>
      <c r="BE345" s="341"/>
      <c r="BF345" s="341" t="s">
        <v>263</v>
      </c>
      <c r="BG345" s="341"/>
      <c r="BH345" s="350"/>
    </row>
    <row r="346" spans="1:62" ht="55.5" customHeight="1">
      <c r="A346" s="611"/>
      <c r="B346" s="625"/>
      <c r="C346" s="607"/>
      <c r="D346" s="612"/>
      <c r="E346" s="633"/>
      <c r="F346" s="351">
        <v>58.5</v>
      </c>
      <c r="G346" s="414">
        <f t="shared" si="48"/>
        <v>58.502249999999997</v>
      </c>
      <c r="H346" s="413" t="s">
        <v>1574</v>
      </c>
      <c r="I346" s="413" t="s">
        <v>1575</v>
      </c>
      <c r="J346" s="185"/>
      <c r="K346" s="413" t="str">
        <f>IF(M346&lt;&gt;0,$M$5&amp;", ","")&amp;IF(N346&lt;&gt;0,$N$5&amp;", ","")&amp;IF(O346&lt;&gt;0,O$5&amp;", ","")&amp;IF(P346&lt;&gt;0,P$5&amp;", ","")&amp;IF(Q346&lt;&gt;0,Q$5&amp;", ","")&amp;IF(R346&lt;&gt;0,R$5&amp;", ","")&amp;IF(S346&lt;&gt;0,S$5&amp;", ","")&amp;IF(T346&lt;&gt;0,T$5&amp;", ","")&amp;IF(U346&lt;&gt;0,U$5&amp;", ","")&amp;IF(V346&lt;&gt;0,V$5&amp;", ","")&amp;IF(W346&lt;&gt;0,W$5&amp;", ","")&amp;IF(X346&lt;&gt;0,X$5&amp;", ","")&amp;IF(Y346&lt;&gt;0,Y$5&amp;", ","")&amp;IF(Z346&lt;&gt;0,Z$5&amp;", ","")&amp;IF(AA346&lt;&gt;0,AA$5&amp;", ","")&amp;IF(AB346&lt;&gt;0,AB$5&amp;", ","")&amp;IF(AC346&lt;&gt;0,AC$5&amp;", ","")&amp;IF(AD346&lt;&gt;0,AD$5&amp;", ","")&amp;IF(AE346&lt;&gt;0,AE$5&amp;", ","")&amp;IF(AF346&lt;&gt;0,AF$5&amp;", ","")&amp;IF(AG346&lt;&gt;0,AG$5&amp;", ","")&amp;IF(AH346&lt;&gt;0,AH$5&amp;", ","")&amp;IF(AI346&lt;&gt;0,AI$5&amp;", ","")&amp;IF(AJ346&lt;&gt;0,AJ$5&amp;", ","")&amp;IF(AK346&lt;&gt;0,AK$5&amp;", ","")&amp;IF(AL346&lt;&gt;0,AL$5&amp;", ","")&amp;IF(AM346&lt;&gt;0,AM$5&amp;", ","")&amp;IF(AN346&lt;&gt;0,AN$5&amp;", ","")&amp;IF(AO346&lt;&gt;0,AO$5&amp;", ","")&amp;IF(AP346&lt;&gt;0,AP$5&amp;", ","")&amp;IF(AQ346&lt;&gt;0,AQ$5&amp;", ","")&amp;IF(AR346&lt;&gt;0,AR$5,"")&amp;IF(AS346&lt;&gt;0,AS$5,"")&amp;IF(AT346&lt;&gt;0,AT$5,"")&amp;IF(AU346&lt;&gt;0,AU$5,"")</f>
        <v xml:space="preserve">LUC, HNK, CLN, DGT, TON, NTD, ONT, TIN, SON, </v>
      </c>
      <c r="L346" s="413" t="str">
        <f>IF(M346="","",$M$5&amp;":"&amp;M346&amp;";")&amp;IF(N346="","",$N$5&amp;":"&amp;N346&amp;";")&amp;IF(O346="","",$O$5&amp;":"&amp;O346&amp;";")&amp;IF(P346="","",$P$5&amp;":"&amp;P346&amp;";")&amp;IF(Q346="","",$Q$5&amp;":"&amp;Q346&amp;";")&amp;IF(R346="","",$R$5&amp;":"&amp;R346&amp;";")&amp;IF(S346="","",$S$5&amp;":"&amp;S346&amp;";")&amp;IF(T346="","",$T$5&amp;":"&amp;T346&amp;";")&amp;IF(U346="","",$U$5&amp;":"&amp;U346&amp;";")&amp;IF(V346="","",$V$5&amp;":"&amp;V346&amp;";")&amp;IF(W346="","",$W$5&amp;":"&amp;W346&amp;";")&amp;IF(X346="","",$X$5&amp;":"&amp;X346&amp;";")&amp;IF(Y346="","",$Y$5&amp;":"&amp;Y346&amp;";")&amp;IF(Z346="","",$Z$5&amp;":"&amp;Z346&amp;";")&amp;IF(AA346="","",$AA$5&amp;":"&amp;AA346&amp;";")&amp;IF(AB346="","",$AB$5&amp;":"&amp;AB346&amp;";")&amp;IF(AC346="","",$AC$5&amp;":"&amp;AC346&amp;";")&amp;IF(AD346="","",$AD$5&amp;":"&amp;AD346&amp;";")&amp;IF(AE346="","",$AE$5&amp;":"&amp;AE346&amp;";")&amp;IF(AF346="","",$AF$5&amp;":"&amp;AF346&amp;";")&amp;IF(AG346="","",$AG$5&amp;":"&amp;AG346&amp;";")&amp;IF(AH346="","",$AH$5&amp;":"&amp;AH346&amp;";")&amp;IF(AI346="","",$AI$5&amp;":"&amp;AI346&amp;";")&amp;IF(AJ346="","",$AJ$5&amp;":"&amp;AJ346&amp;";")&amp;IF(AK346="","",$AK$5&amp;":"&amp;AK346&amp;";")&amp;IF(AL346="","",$AL$5&amp;":"&amp;AL346&amp;";")&amp;IF(AM346="","",$AM$5&amp;":"&amp;AM346&amp;";")&amp;IF(AN346="","",$AN$5&amp;":"&amp;AN346&amp;";")&amp;IF(AO346="","",$AO$5&amp;":"&amp;AO346&amp;";")&amp;IF(AP346="","",$AP$5&amp;":"&amp;AP346&amp;";")&amp;IF(AQ346="","",$AQ$5&amp;":"&amp;AQ346&amp;";")&amp;IF(AR346="","",$AR$5&amp;":"&amp;AR346&amp;";")&amp;IF(AS346="","",$AS$5&amp;":"&amp;AS346&amp;";")&amp;IF(AT346="","",$AT$5&amp;":"&amp;AT346&amp;";")&amp;IF(AU346="","",$AU$5&amp;":"&amp;AU346&amp;";")</f>
        <v>LUC:35,734041;HNK:10,261728;CLN:0,234009;DGT:0,892701;TON:0,095337;NTD:0,459351;ONT:9,265023;TIN:0,026001;SON:1,534059;</v>
      </c>
      <c r="M346" s="174">
        <f>41.23*86.67%</f>
        <v>35.734040999999998</v>
      </c>
      <c r="N346" s="351"/>
      <c r="O346" s="351">
        <f>11.84*86.67%</f>
        <v>10.261728</v>
      </c>
      <c r="P346" s="351">
        <f>0.27*86.67%</f>
        <v>0.23400900000000002</v>
      </c>
      <c r="Q346" s="351"/>
      <c r="R346" s="351"/>
      <c r="S346" s="351"/>
      <c r="T346" s="351"/>
      <c r="U346" s="351"/>
      <c r="V346" s="351"/>
      <c r="W346" s="351">
        <f>1.03*86.67%</f>
        <v>0.89270100000000008</v>
      </c>
      <c r="X346" s="351"/>
      <c r="Y346" s="351"/>
      <c r="Z346" s="351"/>
      <c r="AA346" s="351"/>
      <c r="AB346" s="351"/>
      <c r="AC346" s="351"/>
      <c r="AD346" s="351"/>
      <c r="AE346" s="351"/>
      <c r="AF346" s="351"/>
      <c r="AG346" s="351">
        <f>0.11*86.67%</f>
        <v>9.5337000000000005E-2</v>
      </c>
      <c r="AH346" s="351">
        <f>0.53*86.67%</f>
        <v>0.45935100000000001</v>
      </c>
      <c r="AI346" s="351"/>
      <c r="AJ346" s="351"/>
      <c r="AK346" s="351"/>
      <c r="AL346" s="351">
        <f>10.69*86.67%</f>
        <v>9.2650229999999993</v>
      </c>
      <c r="AM346" s="351"/>
      <c r="AN346" s="351"/>
      <c r="AO346" s="351"/>
      <c r="AP346" s="351">
        <f>0.03*86.67%</f>
        <v>2.6001E-2</v>
      </c>
      <c r="AQ346" s="351">
        <f>1.77*86.67%</f>
        <v>1.5340590000000001</v>
      </c>
      <c r="AR346" s="351"/>
      <c r="AS346" s="351"/>
      <c r="AT346" s="351"/>
      <c r="AU346" s="351"/>
      <c r="AV346" s="338" t="s">
        <v>289</v>
      </c>
      <c r="AW346" s="338" t="s">
        <v>289</v>
      </c>
      <c r="AX346" s="350" t="s">
        <v>1160</v>
      </c>
      <c r="AY346" s="356" t="s">
        <v>1160</v>
      </c>
      <c r="AZ346" s="352" t="s">
        <v>1576</v>
      </c>
      <c r="BA346" s="350"/>
      <c r="BB346" s="350"/>
      <c r="BC346" s="632"/>
      <c r="BD346" s="342"/>
      <c r="BE346" s="342"/>
      <c r="BF346" s="342" t="s">
        <v>263</v>
      </c>
      <c r="BG346" s="342"/>
      <c r="BH346" s="350"/>
    </row>
    <row r="347" spans="1:62" ht="63.75" customHeight="1">
      <c r="A347" s="611"/>
      <c r="B347" s="625"/>
      <c r="C347" s="607"/>
      <c r="D347" s="612"/>
      <c r="E347" s="633"/>
      <c r="F347" s="351">
        <v>40</v>
      </c>
      <c r="G347" s="414">
        <f t="shared" si="48"/>
        <v>40.001804999999997</v>
      </c>
      <c r="H347" s="413" t="s">
        <v>1577</v>
      </c>
      <c r="I347" s="413" t="s">
        <v>1578</v>
      </c>
      <c r="J347" s="413"/>
      <c r="K347" s="413" t="str">
        <f>IF(M347&lt;&gt;0,$M$5&amp;", ","")&amp;IF(N347&lt;&gt;0,$N$5&amp;", ","")&amp;IF(O347&lt;&gt;0,O$5&amp;", ","")&amp;IF(P347&lt;&gt;0,P$5&amp;", ","")&amp;IF(Q347&lt;&gt;0,Q$5&amp;", ","")&amp;IF(R347&lt;&gt;0,R$5&amp;", ","")&amp;IF(S347&lt;&gt;0,S$5&amp;", ","")&amp;IF(T347&lt;&gt;0,T$5&amp;", ","")&amp;IF(U347&lt;&gt;0,U$5&amp;", ","")&amp;IF(V347&lt;&gt;0,V$5&amp;", ","")&amp;IF(W347&lt;&gt;0,W$5&amp;", ","")&amp;IF(X347&lt;&gt;0,X$5&amp;", ","")&amp;IF(Y347&lt;&gt;0,Y$5&amp;", ","")&amp;IF(Z347&lt;&gt;0,Z$5&amp;", ","")&amp;IF(AA347&lt;&gt;0,AA$5&amp;", ","")&amp;IF(AB347&lt;&gt;0,AB$5&amp;", ","")&amp;IF(AC347&lt;&gt;0,AC$5&amp;", ","")&amp;IF(AD347&lt;&gt;0,AD$5&amp;", ","")&amp;IF(AE347&lt;&gt;0,AE$5&amp;", ","")&amp;IF(AF347&lt;&gt;0,AF$5&amp;", ","")&amp;IF(AG347&lt;&gt;0,AG$5&amp;", ","")&amp;IF(AH347&lt;&gt;0,AH$5&amp;", ","")&amp;IF(AI347&lt;&gt;0,AI$5&amp;", ","")&amp;IF(AJ347&lt;&gt;0,AJ$5&amp;", ","")&amp;IF(AK347&lt;&gt;0,AK$5&amp;", ","")&amp;IF(AL347&lt;&gt;0,AL$5&amp;", ","")&amp;IF(AM347&lt;&gt;0,AM$5&amp;", ","")&amp;IF(AN347&lt;&gt;0,AN$5&amp;", ","")&amp;IF(AO347&lt;&gt;0,AO$5&amp;", ","")&amp;IF(AP347&lt;&gt;0,AP$5&amp;", ","")&amp;IF(AQ347&lt;&gt;0,AQ$5&amp;", ","")&amp;IF(AR347&lt;&gt;0,AR$5,"")&amp;IF(AS347&lt;&gt;0,AS$5,"")&amp;IF(AT347&lt;&gt;0,AT$5,"")&amp;IF(AU347&lt;&gt;0,AU$5,"")</f>
        <v xml:space="preserve">LUC, HNK, CLN, NTS, NKH, SKC, DGT, DYT, TON, NTD, ONT, SON, </v>
      </c>
      <c r="L347" s="413" t="str">
        <f>IF(M347="","",$M$5&amp;":"&amp;M347&amp;";")&amp;IF(N347="","",$N$5&amp;":"&amp;N347&amp;";")&amp;IF(O347="","",$O$5&amp;":"&amp;O347&amp;";")&amp;IF(P347="","",$P$5&amp;":"&amp;P347&amp;";")&amp;IF(Q347="","",$Q$5&amp;":"&amp;Q347&amp;";")&amp;IF(R347="","",$R$5&amp;":"&amp;R347&amp;";")&amp;IF(S347="","",$S$5&amp;":"&amp;S347&amp;";")&amp;IF(T347="","",$T$5&amp;":"&amp;T347&amp;";")&amp;IF(U347="","",$U$5&amp;":"&amp;U347&amp;";")&amp;IF(V347="","",$V$5&amp;":"&amp;V347&amp;";")&amp;IF(W347="","",$W$5&amp;":"&amp;W347&amp;";")&amp;IF(X347="","",$X$5&amp;":"&amp;X347&amp;";")&amp;IF(Y347="","",$Y$5&amp;":"&amp;Y347&amp;";")&amp;IF(Z347="","",$Z$5&amp;":"&amp;Z347&amp;";")&amp;IF(AA347="","",$AA$5&amp;":"&amp;AA347&amp;";")&amp;IF(AB347="","",$AB$5&amp;":"&amp;AB347&amp;";")&amp;IF(AC347="","",$AC$5&amp;":"&amp;AC347&amp;";")&amp;IF(AD347="","",$AD$5&amp;":"&amp;AD347&amp;";")&amp;IF(AE347="","",$AE$5&amp;":"&amp;AE347&amp;";")&amp;IF(AF347="","",$AF$5&amp;":"&amp;AF347&amp;";")&amp;IF(AG347="","",$AG$5&amp;":"&amp;AG347&amp;";")&amp;IF(AH347="","",$AH$5&amp;":"&amp;AH347&amp;";")&amp;IF(AI347="","",$AI$5&amp;":"&amp;AI347&amp;";")&amp;IF(AJ347="","",$AJ$5&amp;":"&amp;AJ347&amp;";")&amp;IF(AK347="","",$AK$5&amp;":"&amp;AK347&amp;";")&amp;IF(AL347="","",$AL$5&amp;":"&amp;AL347&amp;";")&amp;IF(AM347="","",$AM$5&amp;":"&amp;AM347&amp;";")&amp;IF(AN347="","",$AN$5&amp;":"&amp;AN347&amp;";")&amp;IF(AO347="","",$AO$5&amp;":"&amp;AO347&amp;";")&amp;IF(AP347="","",$AP$5&amp;":"&amp;AP347&amp;";")&amp;IF(AQ347="","",$AQ$5&amp;":"&amp;AQ347&amp;";")&amp;IF(AR347="","",$AR$5&amp;":"&amp;AR347&amp;";")&amp;IF(AS347="","",$AS$5&amp;":"&amp;AS347&amp;";")&amp;IF(AT347="","",$AT$5&amp;":"&amp;AT347&amp;";")&amp;IF(AU347="","",$AU$5&amp;":"&amp;AU347&amp;";")</f>
        <v>LUC:31,111506;HNK:2,36106;CLN:0,690156;NTS:0,027243;NKH:0,208863;SKC:0,590265;DGT:0,517617;DYT:0,09081;TON:0,54486;NTD:0,127134;ONT:3,432618;SON:0,299673;</v>
      </c>
      <c r="M347" s="174">
        <f>34.26*90.81%</f>
        <v>31.111505999999999</v>
      </c>
      <c r="N347" s="351"/>
      <c r="O347" s="351">
        <f>2.6*90.81%</f>
        <v>2.3610600000000002</v>
      </c>
      <c r="P347" s="351">
        <f>0.76*90.81%</f>
        <v>0.69015599999999999</v>
      </c>
      <c r="Q347" s="351">
        <f>0.03*90.81%</f>
        <v>2.7243E-2</v>
      </c>
      <c r="R347" s="351">
        <f>0.23*90.81%</f>
        <v>0.20886300000000002</v>
      </c>
      <c r="S347" s="351"/>
      <c r="T347" s="351"/>
      <c r="U347" s="351"/>
      <c r="V347" s="351">
        <f>0.65*90.81%</f>
        <v>0.59026500000000004</v>
      </c>
      <c r="W347" s="351">
        <f>0.57*90.81%</f>
        <v>0.51761699999999999</v>
      </c>
      <c r="X347" s="351"/>
      <c r="Y347" s="351"/>
      <c r="Z347" s="351">
        <f>0.1*90.81%</f>
        <v>9.0810000000000002E-2</v>
      </c>
      <c r="AA347" s="351"/>
      <c r="AB347" s="351"/>
      <c r="AC347" s="351"/>
      <c r="AD347" s="351"/>
      <c r="AE347" s="351"/>
      <c r="AF347" s="351"/>
      <c r="AG347" s="351">
        <f>0.6*90.81%</f>
        <v>0.54486000000000001</v>
      </c>
      <c r="AH347" s="351">
        <f>0.14*90.81%</f>
        <v>0.12713400000000002</v>
      </c>
      <c r="AI347" s="351"/>
      <c r="AJ347" s="351"/>
      <c r="AK347" s="351"/>
      <c r="AL347" s="351">
        <f>3.78*90.81%</f>
        <v>3.4326179999999997</v>
      </c>
      <c r="AM347" s="351"/>
      <c r="AN347" s="351"/>
      <c r="AO347" s="351"/>
      <c r="AP347" s="351"/>
      <c r="AQ347" s="351">
        <f>0.33*90.81%</f>
        <v>0.29967300000000002</v>
      </c>
      <c r="AR347" s="351"/>
      <c r="AS347" s="351"/>
      <c r="AT347" s="351"/>
      <c r="AU347" s="351"/>
      <c r="AV347" s="351" t="s">
        <v>300</v>
      </c>
      <c r="AW347" s="351" t="s">
        <v>300</v>
      </c>
      <c r="AX347" s="350"/>
      <c r="AY347" s="356"/>
      <c r="AZ347" s="352" t="s">
        <v>1579</v>
      </c>
      <c r="BA347" s="350"/>
      <c r="BB347" s="350"/>
      <c r="BC347" s="628"/>
      <c r="BD347" s="343"/>
      <c r="BE347" s="343"/>
      <c r="BF347" s="343" t="s">
        <v>263</v>
      </c>
      <c r="BG347" s="343"/>
      <c r="BH347" s="350"/>
    </row>
    <row r="348" spans="1:62" ht="63.75" customHeight="1">
      <c r="A348" s="611">
        <f>SUBTOTAL(3,C$11:$C348)</f>
        <v>242</v>
      </c>
      <c r="B348" s="625" t="s">
        <v>819</v>
      </c>
      <c r="C348" s="607" t="s">
        <v>820</v>
      </c>
      <c r="D348" s="612">
        <v>16.2</v>
      </c>
      <c r="E348" s="633"/>
      <c r="F348" s="351">
        <f>F349+F350</f>
        <v>16.2</v>
      </c>
      <c r="G348" s="414"/>
      <c r="H348" s="413" t="s">
        <v>1148</v>
      </c>
      <c r="I348" s="413"/>
      <c r="J348" s="413"/>
      <c r="K348" s="413"/>
      <c r="L348" s="413"/>
      <c r="M348" s="174"/>
      <c r="N348" s="351"/>
      <c r="O348" s="351"/>
      <c r="P348" s="351"/>
      <c r="Q348" s="351"/>
      <c r="R348" s="351"/>
      <c r="S348" s="351"/>
      <c r="T348" s="351"/>
      <c r="U348" s="351"/>
      <c r="V348" s="351"/>
      <c r="W348" s="351"/>
      <c r="X348" s="351"/>
      <c r="Y348" s="351"/>
      <c r="Z348" s="351"/>
      <c r="AA348" s="351"/>
      <c r="AB348" s="351"/>
      <c r="AC348" s="351"/>
      <c r="AD348" s="351"/>
      <c r="AE348" s="351"/>
      <c r="AF348" s="351"/>
      <c r="AG348" s="351"/>
      <c r="AH348" s="351"/>
      <c r="AI348" s="351"/>
      <c r="AJ348" s="351"/>
      <c r="AK348" s="351"/>
      <c r="AL348" s="351"/>
      <c r="AM348" s="351"/>
      <c r="AN348" s="351"/>
      <c r="AO348" s="351"/>
      <c r="AP348" s="351"/>
      <c r="AQ348" s="351"/>
      <c r="AR348" s="351"/>
      <c r="AS348" s="351"/>
      <c r="AT348" s="351"/>
      <c r="AU348" s="351"/>
      <c r="AV348" s="351" t="s">
        <v>1580</v>
      </c>
      <c r="AW348" s="351"/>
      <c r="AX348" s="350" t="s">
        <v>1581</v>
      </c>
      <c r="AY348" s="356"/>
      <c r="AZ348" s="352"/>
      <c r="BA348" s="350"/>
      <c r="BB348" s="350"/>
      <c r="BC348" s="342"/>
      <c r="BD348" s="342"/>
      <c r="BE348" s="342"/>
      <c r="BF348" s="342"/>
      <c r="BG348" s="342"/>
      <c r="BH348" s="350"/>
    </row>
    <row r="349" spans="1:62" ht="35.15" customHeight="1">
      <c r="A349" s="611"/>
      <c r="B349" s="625"/>
      <c r="C349" s="607"/>
      <c r="D349" s="612"/>
      <c r="E349" s="633"/>
      <c r="F349" s="351">
        <v>14.64</v>
      </c>
      <c r="G349" s="414">
        <f t="shared" si="48"/>
        <v>15.009999999999998</v>
      </c>
      <c r="H349" s="413" t="s">
        <v>1570</v>
      </c>
      <c r="I349" s="413" t="s">
        <v>1582</v>
      </c>
      <c r="J349" s="413" t="s">
        <v>1570</v>
      </c>
      <c r="K349" s="413" t="str">
        <f t="shared" ref="K349:K355" si="49">IF(M349&lt;&gt;0,$M$5&amp;", ","")&amp;IF(N349&lt;&gt;0,$N$5&amp;", ","")&amp;IF(O349&lt;&gt;0,O$5&amp;", ","")&amp;IF(P349&lt;&gt;0,P$5&amp;", ","")&amp;IF(Q349&lt;&gt;0,Q$5&amp;", ","")&amp;IF(R349&lt;&gt;0,R$5&amp;", ","")&amp;IF(S349&lt;&gt;0,S$5&amp;", ","")&amp;IF(T349&lt;&gt;0,T$5&amp;", ","")&amp;IF(U349&lt;&gt;0,U$5&amp;", ","")&amp;IF(V349&lt;&gt;0,V$5&amp;", ","")&amp;IF(W349&lt;&gt;0,W$5&amp;", ","")&amp;IF(X349&lt;&gt;0,X$5&amp;", ","")&amp;IF(Y349&lt;&gt;0,Y$5&amp;", ","")&amp;IF(Z349&lt;&gt;0,Z$5&amp;", ","")&amp;IF(AA349&lt;&gt;0,AA$5&amp;", ","")&amp;IF(AB349&lt;&gt;0,AB$5&amp;", ","")&amp;IF(AC349&lt;&gt;0,AC$5&amp;", ","")&amp;IF(AD349&lt;&gt;0,AD$5&amp;", ","")&amp;IF(AE349&lt;&gt;0,AE$5&amp;", ","")&amp;IF(AF349&lt;&gt;0,AF$5&amp;", ","")&amp;IF(AG349&lt;&gt;0,AG$5&amp;", ","")&amp;IF(AH349&lt;&gt;0,AH$5&amp;", ","")&amp;IF(AI349&lt;&gt;0,AI$5&amp;", ","")&amp;IF(AJ349&lt;&gt;0,AJ$5&amp;", ","")&amp;IF(AK349&lt;&gt;0,AK$5&amp;", ","")&amp;IF(AL349&lt;&gt;0,AL$5&amp;", ","")&amp;IF(AM349&lt;&gt;0,AM$5&amp;", ","")&amp;IF(AN349&lt;&gt;0,AN$5&amp;", ","")&amp;IF(AO349&lt;&gt;0,AO$5&amp;", ","")&amp;IF(AP349&lt;&gt;0,AP$5&amp;", ","")&amp;IF(AQ349&lt;&gt;0,AQ$5&amp;", ","")&amp;IF(AR349&lt;&gt;0,AR$5,"")&amp;IF(AS349&lt;&gt;0,AS$5,"")&amp;IF(AT349&lt;&gt;0,AT$5,"")&amp;IF(AU349&lt;&gt;0,AU$5,"")</f>
        <v xml:space="preserve">LUC, HNK, NTS, NTD, ONT, </v>
      </c>
      <c r="L349" s="413" t="str">
        <f t="shared" ref="L349:L355" si="50">IF(M349="","",$M$5&amp;":"&amp;M349&amp;";")&amp;IF(N349="","",$N$5&amp;":"&amp;N349&amp;";")&amp;IF(O349="","",$O$5&amp;":"&amp;O349&amp;";")&amp;IF(P349="","",$P$5&amp;":"&amp;P349&amp;";")&amp;IF(Q349="","",$Q$5&amp;":"&amp;Q349&amp;";")&amp;IF(R349="","",$R$5&amp;":"&amp;R349&amp;";")&amp;IF(S349="","",$S$5&amp;":"&amp;S349&amp;";")&amp;IF(T349="","",$T$5&amp;":"&amp;T349&amp;";")&amp;IF(U349="","",$U$5&amp;":"&amp;U349&amp;";")&amp;IF(V349="","",$V$5&amp;":"&amp;V349&amp;";")&amp;IF(W349="","",$W$5&amp;":"&amp;W349&amp;";")&amp;IF(X349="","",$X$5&amp;":"&amp;X349&amp;";")&amp;IF(Y349="","",$Y$5&amp;":"&amp;Y349&amp;";")&amp;IF(Z349="","",$Z$5&amp;":"&amp;Z349&amp;";")&amp;IF(AA349="","",$AA$5&amp;":"&amp;AA349&amp;";")&amp;IF(AB349="","",$AB$5&amp;":"&amp;AB349&amp;";")&amp;IF(AC349="","",$AC$5&amp;":"&amp;AC349&amp;";")&amp;IF(AD349="","",$AD$5&amp;":"&amp;AD349&amp;";")&amp;IF(AE349="","",$AE$5&amp;":"&amp;AE349&amp;";")&amp;IF(AF349="","",$AF$5&amp;":"&amp;AF349&amp;";")&amp;IF(AG349="","",$AG$5&amp;":"&amp;AG349&amp;";")&amp;IF(AH349="","",$AH$5&amp;":"&amp;AH349&amp;";")&amp;IF(AI349="","",$AI$5&amp;":"&amp;AI349&amp;";")&amp;IF(AJ349="","",$AJ$5&amp;":"&amp;AJ349&amp;";")&amp;IF(AK349="","",$AK$5&amp;":"&amp;AK349&amp;";")&amp;IF(AL349="","",$AL$5&amp;":"&amp;AL349&amp;";")&amp;IF(AM349="","",$AM$5&amp;":"&amp;AM349&amp;";")&amp;IF(AN349="","",$AN$5&amp;":"&amp;AN349&amp;";")&amp;IF(AO349="","",$AO$5&amp;":"&amp;AO349&amp;";")&amp;IF(AP349="","",$AP$5&amp;":"&amp;AP349&amp;";")&amp;IF(AQ349="","",$AQ$5&amp;":"&amp;AQ349&amp;";")&amp;IF(AR349="","",$AR$5&amp;":"&amp;AR349&amp;";")&amp;IF(AS349="","",$AS$5&amp;":"&amp;AS349&amp;";")&amp;IF(AT349="","",$AT$5&amp;":"&amp;AT349&amp;";")&amp;IF(AU349="","",$AU$5&amp;":"&amp;AU349&amp;";")</f>
        <v>LUC:8,53;HNK:1,5;NTS:0,11;NTD:0,16;ONT:4,71;</v>
      </c>
      <c r="M349" s="351">
        <v>8.5299999999999994</v>
      </c>
      <c r="N349" s="351"/>
      <c r="O349" s="351">
        <v>1.5</v>
      </c>
      <c r="P349" s="351"/>
      <c r="Q349" s="351">
        <v>0.11</v>
      </c>
      <c r="R349" s="351"/>
      <c r="S349" s="351"/>
      <c r="T349" s="351"/>
      <c r="U349" s="351"/>
      <c r="V349" s="351"/>
      <c r="W349" s="351"/>
      <c r="X349" s="351"/>
      <c r="Y349" s="351"/>
      <c r="Z349" s="351"/>
      <c r="AA349" s="351"/>
      <c r="AB349" s="351"/>
      <c r="AC349" s="351"/>
      <c r="AD349" s="351"/>
      <c r="AE349" s="351"/>
      <c r="AF349" s="351"/>
      <c r="AG349" s="351"/>
      <c r="AH349" s="351">
        <v>0.16</v>
      </c>
      <c r="AI349" s="351"/>
      <c r="AJ349" s="351"/>
      <c r="AK349" s="351"/>
      <c r="AL349" s="351">
        <v>4.71</v>
      </c>
      <c r="AM349" s="351"/>
      <c r="AN349" s="351"/>
      <c r="AO349" s="351"/>
      <c r="AP349" s="351"/>
      <c r="AQ349" s="351"/>
      <c r="AR349" s="351"/>
      <c r="AS349" s="351"/>
      <c r="AT349" s="351"/>
      <c r="AU349" s="351"/>
      <c r="AV349" s="351" t="s">
        <v>306</v>
      </c>
      <c r="AW349" s="351" t="s">
        <v>306</v>
      </c>
      <c r="AX349" s="186" t="s">
        <v>1572</v>
      </c>
      <c r="AY349" s="264" t="s">
        <v>1572</v>
      </c>
      <c r="AZ349" s="352" t="s">
        <v>1583</v>
      </c>
      <c r="BA349" s="350"/>
      <c r="BB349" s="350"/>
      <c r="BC349" s="627" t="s">
        <v>316</v>
      </c>
      <c r="BD349" s="341"/>
      <c r="BE349" s="341"/>
      <c r="BF349" s="341" t="s">
        <v>263</v>
      </c>
      <c r="BG349" s="341"/>
      <c r="BH349" s="350"/>
    </row>
    <row r="350" spans="1:62" ht="35.15" customHeight="1">
      <c r="A350" s="611"/>
      <c r="B350" s="625"/>
      <c r="C350" s="607"/>
      <c r="D350" s="612"/>
      <c r="E350" s="633"/>
      <c r="F350" s="351">
        <v>1.56</v>
      </c>
      <c r="G350" s="414">
        <f t="shared" si="48"/>
        <v>1.5599999999999998</v>
      </c>
      <c r="H350" s="413" t="s">
        <v>1584</v>
      </c>
      <c r="I350" s="413" t="s">
        <v>1585</v>
      </c>
      <c r="J350" s="413"/>
      <c r="K350" s="413" t="str">
        <f t="shared" si="49"/>
        <v xml:space="preserve">LUC, CLN, NTS, SON, </v>
      </c>
      <c r="L350" s="413" t="str">
        <f t="shared" si="50"/>
        <v>LUC:0,86;CLN:0,32;NTS:0,14;SON:0,24;</v>
      </c>
      <c r="M350" s="351">
        <v>0.86</v>
      </c>
      <c r="N350" s="351"/>
      <c r="O350" s="351"/>
      <c r="P350" s="351">
        <v>0.32</v>
      </c>
      <c r="Q350" s="351">
        <v>0.14000000000000001</v>
      </c>
      <c r="R350" s="351"/>
      <c r="S350" s="351"/>
      <c r="T350" s="351"/>
      <c r="U350" s="351"/>
      <c r="V350" s="351"/>
      <c r="W350" s="351"/>
      <c r="X350" s="351"/>
      <c r="Y350" s="351"/>
      <c r="Z350" s="351"/>
      <c r="AA350" s="351"/>
      <c r="AB350" s="351"/>
      <c r="AC350" s="351"/>
      <c r="AD350" s="351"/>
      <c r="AE350" s="351"/>
      <c r="AF350" s="351"/>
      <c r="AG350" s="351"/>
      <c r="AH350" s="351"/>
      <c r="AI350" s="351"/>
      <c r="AJ350" s="351"/>
      <c r="AK350" s="351"/>
      <c r="AL350" s="351"/>
      <c r="AM350" s="351"/>
      <c r="AN350" s="351"/>
      <c r="AO350" s="351"/>
      <c r="AP350" s="351"/>
      <c r="AQ350" s="351">
        <v>0.24</v>
      </c>
      <c r="AR350" s="351"/>
      <c r="AS350" s="351"/>
      <c r="AT350" s="351"/>
      <c r="AU350" s="351"/>
      <c r="AV350" s="351" t="s">
        <v>217</v>
      </c>
      <c r="AW350" s="351" t="s">
        <v>217</v>
      </c>
      <c r="AX350" s="350" t="s">
        <v>1586</v>
      </c>
      <c r="AY350" s="356" t="s">
        <v>1586</v>
      </c>
      <c r="AZ350" s="352" t="s">
        <v>1587</v>
      </c>
      <c r="BA350" s="350"/>
      <c r="BB350" s="350"/>
      <c r="BC350" s="628"/>
      <c r="BD350" s="343"/>
      <c r="BE350" s="343"/>
      <c r="BF350" s="343" t="s">
        <v>263</v>
      </c>
      <c r="BG350" s="343"/>
      <c r="BH350" s="350"/>
    </row>
    <row r="351" spans="1:62" ht="60.75" customHeight="1">
      <c r="A351" s="344">
        <f>SUBTOTAL(3,C$11:$C351)</f>
        <v>243</v>
      </c>
      <c r="B351" s="345" t="s">
        <v>821</v>
      </c>
      <c r="C351" s="346" t="s">
        <v>56</v>
      </c>
      <c r="D351" s="339">
        <v>10.75</v>
      </c>
      <c r="E351" s="351"/>
      <c r="F351" s="351">
        <v>10.75</v>
      </c>
      <c r="G351" s="414">
        <f t="shared" si="48"/>
        <v>10.899999999999999</v>
      </c>
      <c r="H351" s="413" t="s">
        <v>1148</v>
      </c>
      <c r="I351" s="413" t="s">
        <v>1118</v>
      </c>
      <c r="J351" s="413" t="s">
        <v>1570</v>
      </c>
      <c r="K351" s="413" t="str">
        <f t="shared" si="49"/>
        <v xml:space="preserve">LUC, HNK, ONT, </v>
      </c>
      <c r="L351" s="413" t="str">
        <f t="shared" si="50"/>
        <v>LUC:6,38;HNK:1,22;ONT:3,3;</v>
      </c>
      <c r="M351" s="351">
        <v>6.38</v>
      </c>
      <c r="N351" s="351"/>
      <c r="O351" s="351">
        <v>1.22</v>
      </c>
      <c r="P351" s="351"/>
      <c r="Q351" s="351"/>
      <c r="R351" s="351"/>
      <c r="S351" s="351"/>
      <c r="T351" s="351"/>
      <c r="U351" s="351"/>
      <c r="V351" s="351"/>
      <c r="W351" s="351"/>
      <c r="X351" s="351"/>
      <c r="Y351" s="351"/>
      <c r="Z351" s="351"/>
      <c r="AA351" s="351"/>
      <c r="AB351" s="351"/>
      <c r="AC351" s="351"/>
      <c r="AD351" s="351"/>
      <c r="AE351" s="351"/>
      <c r="AF351" s="351"/>
      <c r="AG351" s="351"/>
      <c r="AH351" s="351"/>
      <c r="AI351" s="351"/>
      <c r="AJ351" s="351"/>
      <c r="AK351" s="351"/>
      <c r="AL351" s="351">
        <v>3.3</v>
      </c>
      <c r="AM351" s="351"/>
      <c r="AN351" s="351"/>
      <c r="AO351" s="351"/>
      <c r="AP351" s="351"/>
      <c r="AQ351" s="351"/>
      <c r="AR351" s="351"/>
      <c r="AS351" s="351"/>
      <c r="AT351" s="351"/>
      <c r="AU351" s="351"/>
      <c r="AV351" s="351" t="s">
        <v>306</v>
      </c>
      <c r="AW351" s="351" t="s">
        <v>306</v>
      </c>
      <c r="AX351" s="186" t="s">
        <v>1588</v>
      </c>
      <c r="AY351" s="264" t="s">
        <v>1588</v>
      </c>
      <c r="AZ351" s="352" t="s">
        <v>1589</v>
      </c>
      <c r="BA351" s="350"/>
      <c r="BB351" s="350"/>
      <c r="BC351" s="195" t="s">
        <v>316</v>
      </c>
      <c r="BD351" s="195"/>
      <c r="BE351" s="195"/>
      <c r="BF351" s="195" t="s">
        <v>263</v>
      </c>
      <c r="BG351" s="195"/>
      <c r="BH351" s="350"/>
    </row>
    <row r="352" spans="1:62" ht="50.25" customHeight="1">
      <c r="A352" s="344">
        <f>SUBTOTAL(3,C$11:$C352)</f>
        <v>244</v>
      </c>
      <c r="B352" s="345" t="s">
        <v>822</v>
      </c>
      <c r="C352" s="346" t="s">
        <v>56</v>
      </c>
      <c r="D352" s="339">
        <v>9</v>
      </c>
      <c r="E352" s="351"/>
      <c r="F352" s="351">
        <v>9</v>
      </c>
      <c r="G352" s="414">
        <f t="shared" si="48"/>
        <v>9.26</v>
      </c>
      <c r="H352" s="413" t="s">
        <v>1590</v>
      </c>
      <c r="I352" s="413" t="s">
        <v>1118</v>
      </c>
      <c r="J352" s="413" t="s">
        <v>1575</v>
      </c>
      <c r="K352" s="413" t="str">
        <f t="shared" si="49"/>
        <v xml:space="preserve">LUC, HNK, ONT, </v>
      </c>
      <c r="L352" s="413" t="str">
        <f t="shared" si="50"/>
        <v>LUC:5,84;HNK:0,29;ONT:3,13;</v>
      </c>
      <c r="M352" s="351">
        <v>5.84</v>
      </c>
      <c r="N352" s="351"/>
      <c r="O352" s="351">
        <v>0.28999999999999998</v>
      </c>
      <c r="P352" s="351"/>
      <c r="Q352" s="351"/>
      <c r="R352" s="351"/>
      <c r="S352" s="351"/>
      <c r="T352" s="351"/>
      <c r="U352" s="351"/>
      <c r="V352" s="351"/>
      <c r="W352" s="351"/>
      <c r="X352" s="351"/>
      <c r="Y352" s="351"/>
      <c r="Z352" s="351"/>
      <c r="AA352" s="351"/>
      <c r="AB352" s="351"/>
      <c r="AC352" s="351"/>
      <c r="AD352" s="351"/>
      <c r="AE352" s="351"/>
      <c r="AF352" s="351"/>
      <c r="AG352" s="351"/>
      <c r="AH352" s="351"/>
      <c r="AI352" s="351"/>
      <c r="AJ352" s="351"/>
      <c r="AK352" s="351"/>
      <c r="AL352" s="351">
        <v>3.13</v>
      </c>
      <c r="AM352" s="351"/>
      <c r="AN352" s="351"/>
      <c r="AO352" s="351"/>
      <c r="AP352" s="351"/>
      <c r="AQ352" s="351"/>
      <c r="AR352" s="351"/>
      <c r="AS352" s="351"/>
      <c r="AT352" s="351"/>
      <c r="AU352" s="351"/>
      <c r="AV352" s="338" t="s">
        <v>289</v>
      </c>
      <c r="AW352" s="338" t="s">
        <v>289</v>
      </c>
      <c r="AX352" s="350" t="s">
        <v>1448</v>
      </c>
      <c r="AY352" s="356" t="s">
        <v>1448</v>
      </c>
      <c r="AZ352" s="352" t="s">
        <v>1591</v>
      </c>
      <c r="BA352" s="350"/>
      <c r="BB352" s="350"/>
      <c r="BC352" s="195" t="s">
        <v>316</v>
      </c>
      <c r="BD352" s="195"/>
      <c r="BE352" s="195"/>
      <c r="BF352" s="195" t="s">
        <v>263</v>
      </c>
      <c r="BG352" s="195"/>
      <c r="BH352" s="350"/>
    </row>
    <row r="353" spans="1:62" ht="35.15" customHeight="1">
      <c r="A353" s="344">
        <f>SUBTOTAL(3,C$11:$C353)</f>
        <v>245</v>
      </c>
      <c r="B353" s="345" t="s">
        <v>823</v>
      </c>
      <c r="C353" s="346" t="s">
        <v>56</v>
      </c>
      <c r="D353" s="339">
        <v>4.05</v>
      </c>
      <c r="E353" s="351"/>
      <c r="F353" s="351">
        <v>4.05</v>
      </c>
      <c r="G353" s="414">
        <f t="shared" si="48"/>
        <v>4.0500000000000007</v>
      </c>
      <c r="H353" s="413" t="s">
        <v>1592</v>
      </c>
      <c r="I353" s="413" t="s">
        <v>1454</v>
      </c>
      <c r="J353" s="413"/>
      <c r="K353" s="413" t="str">
        <f t="shared" si="49"/>
        <v xml:space="preserve">LUC, CLN, ONT, </v>
      </c>
      <c r="L353" s="413" t="str">
        <f t="shared" si="50"/>
        <v>LUC:3,68;CLN:0,22;ONT:0,15;</v>
      </c>
      <c r="M353" s="351">
        <v>3.68</v>
      </c>
      <c r="N353" s="351"/>
      <c r="O353" s="351"/>
      <c r="P353" s="351">
        <v>0.22</v>
      </c>
      <c r="Q353" s="351"/>
      <c r="R353" s="351"/>
      <c r="S353" s="351"/>
      <c r="T353" s="351"/>
      <c r="U353" s="351"/>
      <c r="V353" s="351"/>
      <c r="W353" s="351"/>
      <c r="X353" s="351"/>
      <c r="Y353" s="351"/>
      <c r="Z353" s="351"/>
      <c r="AA353" s="351"/>
      <c r="AB353" s="351"/>
      <c r="AC353" s="351"/>
      <c r="AD353" s="351"/>
      <c r="AE353" s="351"/>
      <c r="AF353" s="351"/>
      <c r="AG353" s="351"/>
      <c r="AH353" s="351"/>
      <c r="AI353" s="351"/>
      <c r="AJ353" s="351"/>
      <c r="AK353" s="351"/>
      <c r="AL353" s="351">
        <v>0.15</v>
      </c>
      <c r="AM353" s="351"/>
      <c r="AN353" s="351"/>
      <c r="AO353" s="351"/>
      <c r="AP353" s="351"/>
      <c r="AQ353" s="351"/>
      <c r="AR353" s="351"/>
      <c r="AS353" s="351"/>
      <c r="AT353" s="351"/>
      <c r="AU353" s="351"/>
      <c r="AV353" s="351" t="s">
        <v>300</v>
      </c>
      <c r="AW353" s="351" t="s">
        <v>300</v>
      </c>
      <c r="AX353" s="351" t="s">
        <v>319</v>
      </c>
      <c r="AY353" s="260" t="s">
        <v>319</v>
      </c>
      <c r="AZ353" s="352" t="s">
        <v>1593</v>
      </c>
      <c r="BA353" s="350"/>
      <c r="BB353" s="350"/>
      <c r="BC353" s="195" t="s">
        <v>316</v>
      </c>
      <c r="BD353" s="195"/>
      <c r="BE353" s="195"/>
      <c r="BF353" s="195" t="s">
        <v>263</v>
      </c>
      <c r="BG353" s="195"/>
      <c r="BH353" s="350"/>
    </row>
    <row r="354" spans="1:62" ht="45" customHeight="1">
      <c r="A354" s="344">
        <f>SUBTOTAL(3,C$11:$C354)</f>
        <v>246</v>
      </c>
      <c r="B354" s="345" t="s">
        <v>748</v>
      </c>
      <c r="C354" s="346" t="s">
        <v>56</v>
      </c>
      <c r="D354" s="339">
        <v>7.3</v>
      </c>
      <c r="E354" s="357"/>
      <c r="F354" s="347">
        <v>7.3</v>
      </c>
      <c r="G354" s="414">
        <f t="shared" si="48"/>
        <v>7.3000000000000007</v>
      </c>
      <c r="H354" s="413" t="s">
        <v>1594</v>
      </c>
      <c r="I354" s="413" t="s">
        <v>1595</v>
      </c>
      <c r="J354" s="413" t="s">
        <v>1596</v>
      </c>
      <c r="K354" s="413" t="str">
        <f t="shared" si="49"/>
        <v xml:space="preserve">HNK, NTD, ONT, </v>
      </c>
      <c r="L354" s="413" t="str">
        <f t="shared" si="50"/>
        <v>HNK:1,3;NTD:0,05;ONT:5,95;</v>
      </c>
      <c r="M354" s="347"/>
      <c r="N354" s="347"/>
      <c r="O354" s="347">
        <v>1.3</v>
      </c>
      <c r="P354" s="347"/>
      <c r="Q354" s="347"/>
      <c r="R354" s="347"/>
      <c r="S354" s="347"/>
      <c r="T354" s="347"/>
      <c r="U354" s="347"/>
      <c r="V354" s="347"/>
      <c r="W354" s="347"/>
      <c r="X354" s="347"/>
      <c r="Y354" s="347"/>
      <c r="Z354" s="347"/>
      <c r="AA354" s="347"/>
      <c r="AB354" s="347"/>
      <c r="AC354" s="347"/>
      <c r="AD354" s="347"/>
      <c r="AE354" s="347"/>
      <c r="AF354" s="347"/>
      <c r="AG354" s="347"/>
      <c r="AH354" s="347">
        <v>0.05</v>
      </c>
      <c r="AI354" s="347"/>
      <c r="AJ354" s="347"/>
      <c r="AK354" s="347"/>
      <c r="AL354" s="347">
        <v>5.95</v>
      </c>
      <c r="AM354" s="347"/>
      <c r="AN354" s="347"/>
      <c r="AO354" s="347"/>
      <c r="AP354" s="347"/>
      <c r="AQ354" s="347"/>
      <c r="AR354" s="347"/>
      <c r="AS354" s="347"/>
      <c r="AT354" s="347"/>
      <c r="AU354" s="347"/>
      <c r="AV354" s="346" t="s">
        <v>258</v>
      </c>
      <c r="AW354" s="346" t="s">
        <v>258</v>
      </c>
      <c r="AX354" s="350" t="s">
        <v>332</v>
      </c>
      <c r="AY354" s="356" t="s">
        <v>332</v>
      </c>
      <c r="AZ354" s="352" t="s">
        <v>1597</v>
      </c>
      <c r="BA354" s="350"/>
      <c r="BB354" s="350" t="s">
        <v>333</v>
      </c>
      <c r="BC354" s="195" t="s">
        <v>316</v>
      </c>
      <c r="BD354" s="195"/>
      <c r="BE354" s="195"/>
      <c r="BF354" s="195"/>
      <c r="BG354" s="195" t="s">
        <v>263</v>
      </c>
      <c r="BH354" s="350"/>
    </row>
    <row r="355" spans="1:62" ht="45" customHeight="1">
      <c r="A355" s="344">
        <f>SUBTOTAL(3,C$11:$C355)</f>
        <v>247</v>
      </c>
      <c r="B355" s="345" t="s">
        <v>824</v>
      </c>
      <c r="C355" s="346" t="s">
        <v>56</v>
      </c>
      <c r="D355" s="339">
        <v>5.8</v>
      </c>
      <c r="E355" s="357"/>
      <c r="F355" s="347">
        <v>5.8</v>
      </c>
      <c r="G355" s="414">
        <f t="shared" si="48"/>
        <v>5.8</v>
      </c>
      <c r="H355" s="413" t="s">
        <v>1594</v>
      </c>
      <c r="I355" s="413" t="s">
        <v>1598</v>
      </c>
      <c r="J355" s="413" t="s">
        <v>1596</v>
      </c>
      <c r="K355" s="413" t="str">
        <f t="shared" si="49"/>
        <v xml:space="preserve">HNK, CLN, ONT, </v>
      </c>
      <c r="L355" s="413" t="str">
        <f t="shared" si="50"/>
        <v>HNK:3,1;CLN:1,9;ONT:0,8;</v>
      </c>
      <c r="M355" s="347"/>
      <c r="N355" s="347"/>
      <c r="O355" s="347">
        <v>3.1</v>
      </c>
      <c r="P355" s="347">
        <v>1.9</v>
      </c>
      <c r="Q355" s="347"/>
      <c r="R355" s="347"/>
      <c r="S355" s="347"/>
      <c r="T355" s="347"/>
      <c r="U355" s="347"/>
      <c r="V355" s="347"/>
      <c r="W355" s="347"/>
      <c r="X355" s="347"/>
      <c r="Y355" s="347"/>
      <c r="Z355" s="347"/>
      <c r="AA355" s="347"/>
      <c r="AB355" s="347"/>
      <c r="AC355" s="347"/>
      <c r="AD355" s="347"/>
      <c r="AE355" s="347"/>
      <c r="AF355" s="347"/>
      <c r="AG355" s="347"/>
      <c r="AH355" s="347"/>
      <c r="AI355" s="347"/>
      <c r="AJ355" s="347"/>
      <c r="AK355" s="347"/>
      <c r="AL355" s="347">
        <v>0.8</v>
      </c>
      <c r="AM355" s="347"/>
      <c r="AN355" s="347"/>
      <c r="AO355" s="347"/>
      <c r="AP355" s="347"/>
      <c r="AQ355" s="347"/>
      <c r="AR355" s="347"/>
      <c r="AS355" s="347"/>
      <c r="AT355" s="347"/>
      <c r="AU355" s="347"/>
      <c r="AV355" s="346" t="s">
        <v>258</v>
      </c>
      <c r="AW355" s="346" t="s">
        <v>258</v>
      </c>
      <c r="AX355" s="350" t="s">
        <v>332</v>
      </c>
      <c r="AY355" s="356" t="s">
        <v>332</v>
      </c>
      <c r="AZ355" s="352" t="s">
        <v>1599</v>
      </c>
      <c r="BA355" s="350" t="s">
        <v>825</v>
      </c>
      <c r="BB355" s="350"/>
      <c r="BC355" s="195" t="s">
        <v>316</v>
      </c>
      <c r="BD355" s="195"/>
      <c r="BE355" s="195"/>
      <c r="BF355" s="195" t="s">
        <v>263</v>
      </c>
      <c r="BG355" s="195"/>
      <c r="BH355" s="350"/>
    </row>
    <row r="356" spans="1:62" ht="35.15" customHeight="1">
      <c r="A356" s="344">
        <f>SUBTOTAL(3,C$11:$C356)</f>
        <v>248</v>
      </c>
      <c r="B356" s="345" t="s">
        <v>1600</v>
      </c>
      <c r="C356" s="346" t="s">
        <v>56</v>
      </c>
      <c r="D356" s="339">
        <v>39</v>
      </c>
      <c r="E356" s="357">
        <v>37.97</v>
      </c>
      <c r="F356" s="347">
        <v>1.0300000000000011</v>
      </c>
      <c r="G356" s="414">
        <v>1.03</v>
      </c>
      <c r="H356" s="413" t="s">
        <v>1302</v>
      </c>
      <c r="I356" s="413" t="s">
        <v>1302</v>
      </c>
      <c r="J356" s="413"/>
      <c r="K356" s="413"/>
      <c r="L356" s="413"/>
      <c r="M356" s="347"/>
      <c r="N356" s="347"/>
      <c r="O356" s="347"/>
      <c r="P356" s="347"/>
      <c r="Q356" s="347"/>
      <c r="R356" s="347"/>
      <c r="S356" s="347"/>
      <c r="T356" s="347"/>
      <c r="U356" s="347"/>
      <c r="V356" s="347"/>
      <c r="W356" s="347"/>
      <c r="X356" s="347"/>
      <c r="Y356" s="347"/>
      <c r="Z356" s="347"/>
      <c r="AA356" s="347"/>
      <c r="AB356" s="347"/>
      <c r="AC356" s="347"/>
      <c r="AD356" s="347"/>
      <c r="AE356" s="347"/>
      <c r="AF356" s="347"/>
      <c r="AG356" s="347"/>
      <c r="AH356" s="347"/>
      <c r="AI356" s="347"/>
      <c r="AJ356" s="347"/>
      <c r="AK356" s="347"/>
      <c r="AL356" s="347"/>
      <c r="AM356" s="347"/>
      <c r="AN356" s="347"/>
      <c r="AO356" s="347"/>
      <c r="AP356" s="347"/>
      <c r="AQ356" s="347"/>
      <c r="AR356" s="347"/>
      <c r="AS356" s="347"/>
      <c r="AT356" s="347"/>
      <c r="AU356" s="347"/>
      <c r="AV356" s="346" t="s">
        <v>318</v>
      </c>
      <c r="AW356" s="346" t="s">
        <v>318</v>
      </c>
      <c r="AX356" s="350" t="s">
        <v>413</v>
      </c>
      <c r="AY356" s="356" t="s">
        <v>413</v>
      </c>
      <c r="AZ356" s="352" t="s">
        <v>1601</v>
      </c>
      <c r="BA356" s="350"/>
      <c r="BB356" s="350"/>
      <c r="BC356" s="195"/>
      <c r="BD356" s="195"/>
      <c r="BE356" s="195"/>
      <c r="BF356" s="195"/>
      <c r="BG356" s="195"/>
      <c r="BH356" s="350"/>
    </row>
    <row r="357" spans="1:62" ht="46.5" customHeight="1">
      <c r="A357" s="355">
        <f>SUBTOTAL(3,C$11:$C357)</f>
        <v>249</v>
      </c>
      <c r="B357" s="345" t="s">
        <v>751</v>
      </c>
      <c r="C357" s="346" t="s">
        <v>56</v>
      </c>
      <c r="D357" s="339">
        <v>11</v>
      </c>
      <c r="E357" s="339">
        <v>5.2</v>
      </c>
      <c r="F357" s="339">
        <f>D357-E357</f>
        <v>5.8</v>
      </c>
      <c r="G357" s="414">
        <f>SUM(M357:AR357)</f>
        <v>11</v>
      </c>
      <c r="H357" s="413" t="s">
        <v>1052</v>
      </c>
      <c r="I357" s="413" t="s">
        <v>1136</v>
      </c>
      <c r="J357" s="413" t="s">
        <v>1053</v>
      </c>
      <c r="K357" s="413" t="str">
        <f>IF(M357&lt;&gt;0,$M$5&amp;", ","")&amp;IF(N357&lt;&gt;0,$N$5&amp;", ","")&amp;IF(O357&lt;&gt;0,O$5&amp;", ","")&amp;IF(P357&lt;&gt;0,P$5&amp;", ","")&amp;IF(Q357&lt;&gt;0,Q$5&amp;", ","")&amp;IF(R357&lt;&gt;0,R$5&amp;", ","")&amp;IF(S357&lt;&gt;0,S$5&amp;", ","")&amp;IF(T357&lt;&gt;0,T$5&amp;", ","")&amp;IF(U357&lt;&gt;0,U$5&amp;", ","")&amp;IF(V357&lt;&gt;0,V$5&amp;", ","")&amp;IF(W357&lt;&gt;0,W$5&amp;", ","")&amp;IF(X357&lt;&gt;0,X$5&amp;", ","")&amp;IF(Y357&lt;&gt;0,Y$5&amp;", ","")&amp;IF(Z357&lt;&gt;0,Z$5&amp;", ","")&amp;IF(AA357&lt;&gt;0,AA$5&amp;", ","")&amp;IF(AB357&lt;&gt;0,AB$5&amp;", ","")&amp;IF(AC357&lt;&gt;0,AC$5&amp;", ","")&amp;IF(AD357&lt;&gt;0,AD$5&amp;", ","")&amp;IF(AE357&lt;&gt;0,AE$5&amp;", ","")&amp;IF(AF357&lt;&gt;0,AF$5&amp;", ","")&amp;IF(AG357&lt;&gt;0,AG$5&amp;", ","")&amp;IF(AH357&lt;&gt;0,AH$5&amp;", ","")&amp;IF(AI357&lt;&gt;0,AI$5&amp;", ","")&amp;IF(AJ357&lt;&gt;0,AJ$5&amp;", ","")&amp;IF(AK357&lt;&gt;0,AK$5&amp;", ","")&amp;IF(AL357&lt;&gt;0,AL$5&amp;", ","")&amp;IF(AM357&lt;&gt;0,AM$5&amp;", ","")&amp;IF(AN357&lt;&gt;0,AN$5&amp;", ","")&amp;IF(AO357&lt;&gt;0,AO$5&amp;", ","")&amp;IF(AP357&lt;&gt;0,AP$5&amp;", ","")&amp;IF(AQ357&lt;&gt;0,AQ$5&amp;", ","")&amp;IF(AR357&lt;&gt;0,AR$5,"")&amp;IF(AS357&lt;&gt;0,AS$5,"")&amp;IF(AT357&lt;&gt;0,AT$5,"")&amp;IF(AU357&lt;&gt;0,AU$5,"")</f>
        <v xml:space="preserve">LUC, ONT, </v>
      </c>
      <c r="L357" s="413" t="str">
        <f>IF(M357="","",$M$5&amp;":"&amp;M357&amp;";")&amp;IF(N357="","",$N$5&amp;":"&amp;N357&amp;";")&amp;IF(O357="","",$O$5&amp;":"&amp;O357&amp;";")&amp;IF(P357="","",$P$5&amp;":"&amp;P357&amp;";")&amp;IF(Q357="","",$Q$5&amp;":"&amp;Q357&amp;";")&amp;IF(R357="","",$R$5&amp;":"&amp;R357&amp;";")&amp;IF(S357="","",$S$5&amp;":"&amp;S357&amp;";")&amp;IF(T357="","",$T$5&amp;":"&amp;T357&amp;";")&amp;IF(U357="","",$U$5&amp;":"&amp;U357&amp;";")&amp;IF(V357="","",$V$5&amp;":"&amp;V357&amp;";")&amp;IF(W357="","",$W$5&amp;":"&amp;W357&amp;";")&amp;IF(X357="","",$X$5&amp;":"&amp;X357&amp;";")&amp;IF(Y357="","",$Y$5&amp;":"&amp;Y357&amp;";")&amp;IF(Z357="","",$Z$5&amp;":"&amp;Z357&amp;";")&amp;IF(AA357="","",$AA$5&amp;":"&amp;AA357&amp;";")&amp;IF(AB357="","",$AB$5&amp;":"&amp;AB357&amp;";")&amp;IF(AC357="","",$AC$5&amp;":"&amp;AC357&amp;";")&amp;IF(AD357="","",$AD$5&amp;":"&amp;AD357&amp;";")&amp;IF(AE357="","",$AE$5&amp;":"&amp;AE357&amp;";")&amp;IF(AF357="","",$AF$5&amp;":"&amp;AF357&amp;";")&amp;IF(AG357="","",$AG$5&amp;":"&amp;AG357&amp;";")&amp;IF(AH357="","",$AH$5&amp;":"&amp;AH357&amp;";")&amp;IF(AI357="","",$AI$5&amp;":"&amp;AI357&amp;";")&amp;IF(AJ357="","",$AJ$5&amp;":"&amp;AJ357&amp;";")&amp;IF(AK357="","",$AK$5&amp;":"&amp;AK357&amp;";")&amp;IF(AL357="","",$AL$5&amp;":"&amp;AL357&amp;";")&amp;IF(AM357="","",$AM$5&amp;":"&amp;AM357&amp;";")&amp;IF(AN357="","",$AN$5&amp;":"&amp;AN357&amp;";")&amp;IF(AO357="","",$AO$5&amp;":"&amp;AO357&amp;";")&amp;IF(AP357="","",$AP$5&amp;":"&amp;AP357&amp;";")&amp;IF(AQ357="","",$AQ$5&amp;":"&amp;AQ357&amp;";")&amp;IF(AR357="","",$AR$5&amp;":"&amp;AR357&amp;";")&amp;IF(AS357="","",$AS$5&amp;":"&amp;AS357&amp;";")&amp;IF(AT357="","",$AT$5&amp;":"&amp;AT357&amp;";")&amp;IF(AU357="","",$AU$5&amp;":"&amp;AU357&amp;";")</f>
        <v>LUC:9,99;ONT:1,01;</v>
      </c>
      <c r="M357" s="339">
        <v>9.99</v>
      </c>
      <c r="N357" s="339"/>
      <c r="O357" s="339"/>
      <c r="P357" s="339"/>
      <c r="Q357" s="339"/>
      <c r="R357" s="339"/>
      <c r="S357" s="339"/>
      <c r="T357" s="339"/>
      <c r="U357" s="339"/>
      <c r="V357" s="339"/>
      <c r="W357" s="339"/>
      <c r="X357" s="339"/>
      <c r="Y357" s="339"/>
      <c r="Z357" s="339"/>
      <c r="AA357" s="339"/>
      <c r="AB357" s="339"/>
      <c r="AC357" s="339"/>
      <c r="AD357" s="339"/>
      <c r="AE357" s="339"/>
      <c r="AF357" s="339"/>
      <c r="AG357" s="339"/>
      <c r="AH357" s="339"/>
      <c r="AI357" s="339"/>
      <c r="AJ357" s="339"/>
      <c r="AK357" s="339"/>
      <c r="AL357" s="339">
        <v>1.01</v>
      </c>
      <c r="AM357" s="339"/>
      <c r="AN357" s="339"/>
      <c r="AO357" s="339"/>
      <c r="AP357" s="339"/>
      <c r="AQ357" s="339"/>
      <c r="AR357" s="339"/>
      <c r="AS357" s="339"/>
      <c r="AT357" s="339"/>
      <c r="AU357" s="339"/>
      <c r="AV357" s="338" t="s">
        <v>280</v>
      </c>
      <c r="AW357" s="338" t="s">
        <v>280</v>
      </c>
      <c r="AX357" s="350" t="s">
        <v>752</v>
      </c>
      <c r="AY357" s="356" t="s">
        <v>752</v>
      </c>
      <c r="AZ357" s="352" t="s">
        <v>1470</v>
      </c>
      <c r="BA357" s="238" t="s">
        <v>753</v>
      </c>
      <c r="BB357" s="350"/>
      <c r="BC357" s="195" t="s">
        <v>316</v>
      </c>
      <c r="BD357" s="195"/>
      <c r="BE357" s="195"/>
      <c r="BF357" s="195" t="s">
        <v>263</v>
      </c>
      <c r="BG357" s="195"/>
      <c r="BH357" s="350"/>
    </row>
    <row r="358" spans="1:62" ht="42" customHeight="1">
      <c r="A358" s="355">
        <f>SUBTOTAL(3,C$11:$C358)</f>
        <v>250</v>
      </c>
      <c r="B358" s="345" t="s">
        <v>754</v>
      </c>
      <c r="C358" s="346" t="s">
        <v>56</v>
      </c>
      <c r="D358" s="339">
        <v>1.1200000000000001</v>
      </c>
      <c r="E358" s="339"/>
      <c r="F358" s="339">
        <v>1.1200000000000001</v>
      </c>
      <c r="G358" s="414">
        <f>SUM(M358:AR358)</f>
        <v>1.1199999999999999</v>
      </c>
      <c r="H358" s="413" t="s">
        <v>1107</v>
      </c>
      <c r="I358" s="413" t="s">
        <v>1108</v>
      </c>
      <c r="J358" s="413"/>
      <c r="K358" s="413" t="str">
        <f>IF(M358&lt;&gt;0,$M$5&amp;", ","")&amp;IF(N358&lt;&gt;0,$N$5&amp;", ","")&amp;IF(O358&lt;&gt;0,O$5&amp;", ","")&amp;IF(P358&lt;&gt;0,P$5&amp;", ","")&amp;IF(Q358&lt;&gt;0,Q$5&amp;", ","")&amp;IF(R358&lt;&gt;0,R$5&amp;", ","")&amp;IF(S358&lt;&gt;0,S$5&amp;", ","")&amp;IF(T358&lt;&gt;0,T$5&amp;", ","")&amp;IF(U358&lt;&gt;0,U$5&amp;", ","")&amp;IF(V358&lt;&gt;0,V$5&amp;", ","")&amp;IF(W358&lt;&gt;0,W$5&amp;", ","")&amp;IF(X358&lt;&gt;0,X$5&amp;", ","")&amp;IF(Y358&lt;&gt;0,Y$5&amp;", ","")&amp;IF(Z358&lt;&gt;0,Z$5&amp;", ","")&amp;IF(AA358&lt;&gt;0,AA$5&amp;", ","")&amp;IF(AB358&lt;&gt;0,AB$5&amp;", ","")&amp;IF(AC358&lt;&gt;0,AC$5&amp;", ","")&amp;IF(AD358&lt;&gt;0,AD$5&amp;", ","")&amp;IF(AE358&lt;&gt;0,AE$5&amp;", ","")&amp;IF(AF358&lt;&gt;0,AF$5&amp;", ","")&amp;IF(AG358&lt;&gt;0,AG$5&amp;", ","")&amp;IF(AH358&lt;&gt;0,AH$5&amp;", ","")&amp;IF(AI358&lt;&gt;0,AI$5&amp;", ","")&amp;IF(AJ358&lt;&gt;0,AJ$5&amp;", ","")&amp;IF(AK358&lt;&gt;0,AK$5&amp;", ","")&amp;IF(AL358&lt;&gt;0,AL$5&amp;", ","")&amp;IF(AM358&lt;&gt;0,AM$5&amp;", ","")&amp;IF(AN358&lt;&gt;0,AN$5&amp;", ","")&amp;IF(AO358&lt;&gt;0,AO$5&amp;", ","")&amp;IF(AP358&lt;&gt;0,AP$5&amp;", ","")&amp;IF(AQ358&lt;&gt;0,AQ$5&amp;", ","")&amp;IF(AR358&lt;&gt;0,AR$5,"")&amp;IF(AS358&lt;&gt;0,AS$5,"")&amp;IF(AT358&lt;&gt;0,AT$5,"")&amp;IF(AU358&lt;&gt;0,AU$5,"")</f>
        <v xml:space="preserve">LUC, CLN, </v>
      </c>
      <c r="L358" s="413" t="str">
        <f>IF(M358="","",$M$5&amp;":"&amp;M358&amp;";")&amp;IF(N358="","",$N$5&amp;":"&amp;N358&amp;";")&amp;IF(O358="","",$O$5&amp;":"&amp;O358&amp;";")&amp;IF(P358="","",$P$5&amp;":"&amp;P358&amp;";")&amp;IF(Q358="","",$Q$5&amp;":"&amp;Q358&amp;";")&amp;IF(R358="","",$R$5&amp;":"&amp;R358&amp;";")&amp;IF(S358="","",$S$5&amp;":"&amp;S358&amp;";")&amp;IF(T358="","",$T$5&amp;":"&amp;T358&amp;";")&amp;IF(U358="","",$U$5&amp;":"&amp;U358&amp;";")&amp;IF(V358="","",$V$5&amp;":"&amp;V358&amp;";")&amp;IF(W358="","",$W$5&amp;":"&amp;W358&amp;";")&amp;IF(X358="","",$X$5&amp;":"&amp;X358&amp;";")&amp;IF(Y358="","",$Y$5&amp;":"&amp;Y358&amp;";")&amp;IF(Z358="","",$Z$5&amp;":"&amp;Z358&amp;";")&amp;IF(AA358="","",$AA$5&amp;":"&amp;AA358&amp;";")&amp;IF(AB358="","",$AB$5&amp;":"&amp;AB358&amp;";")&amp;IF(AC358="","",$AC$5&amp;":"&amp;AC358&amp;";")&amp;IF(AD358="","",$AD$5&amp;":"&amp;AD358&amp;";")&amp;IF(AE358="","",$AE$5&amp;":"&amp;AE358&amp;";")&amp;IF(AF358="","",$AF$5&amp;":"&amp;AF358&amp;";")&amp;IF(AG358="","",$AG$5&amp;":"&amp;AG358&amp;";")&amp;IF(AH358="","",$AH$5&amp;":"&amp;AH358&amp;";")&amp;IF(AI358="","",$AI$5&amp;":"&amp;AI358&amp;";")&amp;IF(AJ358="","",$AJ$5&amp;":"&amp;AJ358&amp;";")&amp;IF(AK358="","",$AK$5&amp;":"&amp;AK358&amp;";")&amp;IF(AL358="","",$AL$5&amp;":"&amp;AL358&amp;";")&amp;IF(AM358="","",$AM$5&amp;":"&amp;AM358&amp;";")&amp;IF(AN358="","",$AN$5&amp;":"&amp;AN358&amp;";")&amp;IF(AO358="","",$AO$5&amp;":"&amp;AO358&amp;";")&amp;IF(AP358="","",$AP$5&amp;":"&amp;AP358&amp;";")&amp;IF(AQ358="","",$AQ$5&amp;":"&amp;AQ358&amp;";")&amp;IF(AR358="","",$AR$5&amp;":"&amp;AR358&amp;";")&amp;IF(AS358="","",$AS$5&amp;":"&amp;AS358&amp;";")&amp;IF(AT358="","",$AT$5&amp;":"&amp;AT358&amp;";")&amp;IF(AU358="","",$AU$5&amp;":"&amp;AU358&amp;";")</f>
        <v>LUC:0,96;CLN:0,16;</v>
      </c>
      <c r="M358" s="339">
        <v>0.96</v>
      </c>
      <c r="N358" s="339"/>
      <c r="O358" s="339"/>
      <c r="P358" s="339">
        <v>0.16</v>
      </c>
      <c r="Q358" s="339"/>
      <c r="R358" s="339"/>
      <c r="S358" s="339"/>
      <c r="T358" s="339"/>
      <c r="U358" s="339"/>
      <c r="V358" s="339"/>
      <c r="W358" s="339"/>
      <c r="X358" s="339"/>
      <c r="Y358" s="339"/>
      <c r="Z358" s="339"/>
      <c r="AA358" s="339"/>
      <c r="AB358" s="339"/>
      <c r="AC358" s="339"/>
      <c r="AD358" s="339"/>
      <c r="AE358" s="339"/>
      <c r="AF358" s="339"/>
      <c r="AG358" s="339"/>
      <c r="AH358" s="339"/>
      <c r="AI358" s="339"/>
      <c r="AJ358" s="339"/>
      <c r="AK358" s="339"/>
      <c r="AL358" s="339"/>
      <c r="AM358" s="339"/>
      <c r="AN358" s="339"/>
      <c r="AO358" s="339"/>
      <c r="AP358" s="339"/>
      <c r="AQ358" s="339"/>
      <c r="AR358" s="339"/>
      <c r="AS358" s="339"/>
      <c r="AT358" s="339"/>
      <c r="AU358" s="339"/>
      <c r="AV358" s="338" t="s">
        <v>280</v>
      </c>
      <c r="AW358" s="338" t="s">
        <v>280</v>
      </c>
      <c r="AX358" s="350" t="s">
        <v>755</v>
      </c>
      <c r="AY358" s="356" t="s">
        <v>755</v>
      </c>
      <c r="AZ358" s="352" t="s">
        <v>1472</v>
      </c>
      <c r="BA358" s="350"/>
      <c r="BB358" s="350"/>
      <c r="BC358" s="195" t="s">
        <v>267</v>
      </c>
      <c r="BD358" s="195"/>
      <c r="BE358" s="195"/>
      <c r="BF358" s="195" t="s">
        <v>263</v>
      </c>
      <c r="BG358" s="195"/>
      <c r="BH358" s="350"/>
    </row>
    <row r="359" spans="1:62" ht="64" customHeight="1">
      <c r="A359" s="344">
        <f>SUBTOTAL(3,C$11:$C359)</f>
        <v>251</v>
      </c>
      <c r="B359" s="337" t="s">
        <v>826</v>
      </c>
      <c r="C359" s="338" t="s">
        <v>56</v>
      </c>
      <c r="D359" s="203">
        <v>50</v>
      </c>
      <c r="E359" s="361"/>
      <c r="F359" s="361">
        <v>50</v>
      </c>
      <c r="G359" s="414">
        <f>SUM(M359:AR359)</f>
        <v>50</v>
      </c>
      <c r="H359" s="413" t="s">
        <v>1516</v>
      </c>
      <c r="I359" s="413" t="s">
        <v>1067</v>
      </c>
      <c r="J359" s="413" t="s">
        <v>1523</v>
      </c>
      <c r="K359" s="413" t="str">
        <f>IF(M359&lt;&gt;0,$M$5&amp;", ","")&amp;IF(N359&lt;&gt;0,$N$5&amp;", ","")&amp;IF(O359&lt;&gt;0,O$5&amp;", ","")&amp;IF(P359&lt;&gt;0,P$5&amp;", ","")&amp;IF(Q359&lt;&gt;0,Q$5&amp;", ","")&amp;IF(R359&lt;&gt;0,R$5&amp;", ","")&amp;IF(S359&lt;&gt;0,S$5&amp;", ","")&amp;IF(T359&lt;&gt;0,T$5&amp;", ","")&amp;IF(U359&lt;&gt;0,U$5&amp;", ","")&amp;IF(V359&lt;&gt;0,V$5&amp;", ","")&amp;IF(W359&lt;&gt;0,W$5&amp;", ","")&amp;IF(X359&lt;&gt;0,X$5&amp;", ","")&amp;IF(Y359&lt;&gt;0,Y$5&amp;", ","")&amp;IF(Z359&lt;&gt;0,Z$5&amp;", ","")&amp;IF(AA359&lt;&gt;0,AA$5&amp;", ","")&amp;IF(AB359&lt;&gt;0,AB$5&amp;", ","")&amp;IF(AC359&lt;&gt;0,AC$5&amp;", ","")&amp;IF(AD359&lt;&gt;0,AD$5&amp;", ","")&amp;IF(AE359&lt;&gt;0,AE$5&amp;", ","")&amp;IF(AF359&lt;&gt;0,AF$5&amp;", ","")&amp;IF(AG359&lt;&gt;0,AG$5&amp;", ","")&amp;IF(AH359&lt;&gt;0,AH$5&amp;", ","")&amp;IF(AI359&lt;&gt;0,AI$5&amp;", ","")&amp;IF(AJ359&lt;&gt;0,AJ$5&amp;", ","")&amp;IF(AK359&lt;&gt;0,AK$5&amp;", ","")&amp;IF(AL359&lt;&gt;0,AL$5&amp;", ","")&amp;IF(AM359&lt;&gt;0,AM$5&amp;", ","")&amp;IF(AN359&lt;&gt;0,AN$5&amp;", ","")&amp;IF(AO359&lt;&gt;0,AO$5&amp;", ","")&amp;IF(AP359&lt;&gt;0,AP$5&amp;", ","")&amp;IF(AQ359&lt;&gt;0,AQ$5&amp;", ","")&amp;IF(AR359&lt;&gt;0,AR$5,"")&amp;IF(AS359&lt;&gt;0,AS$5,"")&amp;IF(AT359&lt;&gt;0,AT$5,"")&amp;IF(AU359&lt;&gt;0,AU$5,"")</f>
        <v xml:space="preserve">LUK, HNK, CLN, NTS, ONT, </v>
      </c>
      <c r="L359" s="413" t="str">
        <f>IF(M359="","",$M$5&amp;":"&amp;M359&amp;";")&amp;IF(N359="","",$N$5&amp;":"&amp;N359&amp;";")&amp;IF(O359="","",$O$5&amp;":"&amp;O359&amp;";")&amp;IF(P359="","",$P$5&amp;":"&amp;P359&amp;";")&amp;IF(Q359="","",$Q$5&amp;":"&amp;Q359&amp;";")&amp;IF(R359="","",$R$5&amp;":"&amp;R359&amp;";")&amp;IF(S359="","",$S$5&amp;":"&amp;S359&amp;";")&amp;IF(T359="","",$T$5&amp;":"&amp;T359&amp;";")&amp;IF(U359="","",$U$5&amp;":"&amp;U359&amp;";")&amp;IF(V359="","",$V$5&amp;":"&amp;V359&amp;";")&amp;IF(W359="","",$W$5&amp;":"&amp;W359&amp;";")&amp;IF(X359="","",$X$5&amp;":"&amp;X359&amp;";")&amp;IF(Y359="","",$Y$5&amp;":"&amp;Y359&amp;";")&amp;IF(Z359="","",$Z$5&amp;":"&amp;Z359&amp;";")&amp;IF(AA359="","",$AA$5&amp;":"&amp;AA359&amp;";")&amp;IF(AB359="","",$AB$5&amp;":"&amp;AB359&amp;";")&amp;IF(AC359="","",$AC$5&amp;":"&amp;AC359&amp;";")&amp;IF(AD359="","",$AD$5&amp;":"&amp;AD359&amp;";")&amp;IF(AE359="","",$AE$5&amp;":"&amp;AE359&amp;";")&amp;IF(AF359="","",$AF$5&amp;":"&amp;AF359&amp;";")&amp;IF(AG359="","",$AG$5&amp;":"&amp;AG359&amp;";")&amp;IF(AH359="","",$AH$5&amp;":"&amp;AH359&amp;";")&amp;IF(AI359="","",$AI$5&amp;":"&amp;AI359&amp;";")&amp;IF(AJ359="","",$AJ$5&amp;":"&amp;AJ359&amp;";")&amp;IF(AK359="","",$AK$5&amp;":"&amp;AK359&amp;";")&amp;IF(AL359="","",$AL$5&amp;":"&amp;AL359&amp;";")&amp;IF(AM359="","",$AM$5&amp;":"&amp;AM359&amp;";")&amp;IF(AN359="","",$AN$5&amp;":"&amp;AN359&amp;";")&amp;IF(AO359="","",$AO$5&amp;":"&amp;AO359&amp;";")&amp;IF(AP359="","",$AP$5&amp;":"&amp;AP359&amp;";")&amp;IF(AQ359="","",$AQ$5&amp;":"&amp;AQ359&amp;";")&amp;IF(AR359="","",$AR$5&amp;":"&amp;AR359&amp;";")&amp;IF(AS359="","",$AS$5&amp;":"&amp;AS359&amp;";")&amp;IF(AT359="","",$AT$5&amp;":"&amp;AT359&amp;";")&amp;IF(AU359="","",$AU$5&amp;":"&amp;AU359&amp;";")</f>
        <v>LUK:1,16;HNK:2;CLN:14,16;NTS:17,58;ONT:15,1;</v>
      </c>
      <c r="M359" s="361"/>
      <c r="N359" s="361">
        <v>1.1599999999999999</v>
      </c>
      <c r="O359" s="361">
        <v>2</v>
      </c>
      <c r="P359" s="361">
        <f>6.16+8</f>
        <v>14.16</v>
      </c>
      <c r="Q359" s="361">
        <v>17.579999999999998</v>
      </c>
      <c r="R359" s="361"/>
      <c r="S359" s="361"/>
      <c r="T359" s="361"/>
      <c r="U359" s="361"/>
      <c r="V359" s="361"/>
      <c r="W359" s="361"/>
      <c r="X359" s="361"/>
      <c r="Y359" s="361"/>
      <c r="Z359" s="361"/>
      <c r="AA359" s="361"/>
      <c r="AB359" s="361"/>
      <c r="AC359" s="361"/>
      <c r="AD359" s="361"/>
      <c r="AE359" s="361"/>
      <c r="AF359" s="361"/>
      <c r="AG359" s="361"/>
      <c r="AH359" s="361"/>
      <c r="AI359" s="361"/>
      <c r="AJ359" s="361"/>
      <c r="AK359" s="361"/>
      <c r="AL359" s="361">
        <v>15.1</v>
      </c>
      <c r="AM359" s="361"/>
      <c r="AN359" s="361"/>
      <c r="AO359" s="361"/>
      <c r="AP359" s="361"/>
      <c r="AQ359" s="361"/>
      <c r="AR359" s="361"/>
      <c r="AS359" s="361"/>
      <c r="AT359" s="361"/>
      <c r="AU359" s="361"/>
      <c r="AV359" s="338" t="s">
        <v>292</v>
      </c>
      <c r="AW359" s="338" t="s">
        <v>292</v>
      </c>
      <c r="AX359" s="351" t="s">
        <v>332</v>
      </c>
      <c r="AY359" s="260" t="s">
        <v>332</v>
      </c>
      <c r="AZ359" s="352" t="s">
        <v>1602</v>
      </c>
      <c r="BA359" s="350" t="s">
        <v>357</v>
      </c>
      <c r="BB359" s="350"/>
      <c r="BC359" s="195"/>
      <c r="BD359" s="195"/>
      <c r="BE359" s="195"/>
      <c r="BF359" s="195"/>
      <c r="BG359" s="195"/>
      <c r="BH359" s="350"/>
    </row>
    <row r="360" spans="1:62" s="179" customFormat="1" ht="24.65" customHeight="1">
      <c r="A360" s="145"/>
      <c r="B360" s="163" t="s">
        <v>1759</v>
      </c>
      <c r="C360" s="164"/>
      <c r="D360" s="368"/>
      <c r="E360" s="368"/>
      <c r="F360" s="368"/>
      <c r="G360" s="410"/>
      <c r="H360" s="411"/>
      <c r="I360" s="411"/>
      <c r="J360" s="411"/>
      <c r="K360" s="411"/>
      <c r="L360" s="411"/>
      <c r="M360" s="368"/>
      <c r="N360" s="368"/>
      <c r="O360" s="368"/>
      <c r="P360" s="368"/>
      <c r="Q360" s="368"/>
      <c r="R360" s="368"/>
      <c r="S360" s="368"/>
      <c r="T360" s="368"/>
      <c r="U360" s="368"/>
      <c r="V360" s="368"/>
      <c r="W360" s="368"/>
      <c r="X360" s="368"/>
      <c r="Y360" s="368"/>
      <c r="Z360" s="368"/>
      <c r="AA360" s="368"/>
      <c r="AB360" s="368"/>
      <c r="AC360" s="368"/>
      <c r="AD360" s="368"/>
      <c r="AE360" s="368"/>
      <c r="AF360" s="368"/>
      <c r="AG360" s="368"/>
      <c r="AH360" s="368"/>
      <c r="AI360" s="368"/>
      <c r="AJ360" s="368"/>
      <c r="AK360" s="368"/>
      <c r="AL360" s="368"/>
      <c r="AM360" s="368"/>
      <c r="AN360" s="368"/>
      <c r="AO360" s="368"/>
      <c r="AP360" s="368"/>
      <c r="AQ360" s="368"/>
      <c r="AR360" s="368"/>
      <c r="AS360" s="368"/>
      <c r="AT360" s="368"/>
      <c r="AU360" s="368"/>
      <c r="AV360" s="368"/>
      <c r="AW360" s="368"/>
      <c r="AX360" s="368"/>
      <c r="AY360" s="257"/>
      <c r="AZ360" s="178"/>
      <c r="BA360" s="368"/>
      <c r="BB360" s="368"/>
      <c r="BC360" s="165"/>
      <c r="BD360" s="165"/>
      <c r="BE360" s="165"/>
      <c r="BF360" s="165"/>
      <c r="BG360" s="165"/>
      <c r="BH360" s="368"/>
      <c r="BI360" s="412"/>
      <c r="BJ360" s="412"/>
    </row>
    <row r="361" spans="1:62" s="485" customFormat="1" ht="37.5" customHeight="1">
      <c r="A361" s="504"/>
      <c r="B361" s="505" t="s">
        <v>1908</v>
      </c>
      <c r="C361" s="422" t="s">
        <v>56</v>
      </c>
      <c r="D361" s="506">
        <v>11</v>
      </c>
      <c r="E361" s="480"/>
      <c r="F361" s="506">
        <v>11</v>
      </c>
      <c r="G361" s="481"/>
      <c r="H361" s="507"/>
      <c r="I361" s="420"/>
      <c r="J361" s="420"/>
      <c r="K361" s="420"/>
      <c r="L361" s="420"/>
      <c r="M361" s="419"/>
      <c r="N361" s="419"/>
      <c r="O361" s="419"/>
      <c r="P361" s="419"/>
      <c r="Q361" s="419"/>
      <c r="R361" s="419"/>
      <c r="S361" s="419"/>
      <c r="T361" s="419"/>
      <c r="U361" s="419"/>
      <c r="V361" s="419"/>
      <c r="W361" s="419"/>
      <c r="X361" s="419"/>
      <c r="Y361" s="419"/>
      <c r="Z361" s="419"/>
      <c r="AA361" s="419"/>
      <c r="AB361" s="419"/>
      <c r="AC361" s="419"/>
      <c r="AD361" s="419"/>
      <c r="AE361" s="419"/>
      <c r="AF361" s="419"/>
      <c r="AG361" s="419"/>
      <c r="AH361" s="419"/>
      <c r="AI361" s="419"/>
      <c r="AJ361" s="419"/>
      <c r="AK361" s="419"/>
      <c r="AL361" s="419"/>
      <c r="AM361" s="419"/>
      <c r="AN361" s="419"/>
      <c r="AO361" s="419"/>
      <c r="AP361" s="419"/>
      <c r="AQ361" s="419"/>
      <c r="AR361" s="419"/>
      <c r="AS361" s="419"/>
      <c r="AT361" s="419"/>
      <c r="AU361" s="419"/>
      <c r="AV361" s="422" t="s">
        <v>309</v>
      </c>
      <c r="AW361" s="422"/>
      <c r="AX361" s="447"/>
      <c r="AY361" s="408"/>
      <c r="AZ361" s="449"/>
      <c r="BA361" s="449"/>
      <c r="BB361" s="449"/>
      <c r="BC361" s="483"/>
      <c r="BD361" s="483"/>
      <c r="BE361" s="483"/>
      <c r="BF361" s="483"/>
      <c r="BG361" s="483"/>
      <c r="BH361" s="449"/>
      <c r="BI361" s="429" t="s">
        <v>1859</v>
      </c>
      <c r="BJ361" s="429"/>
    </row>
    <row r="362" spans="1:62" s="485" customFormat="1" ht="37.5" customHeight="1">
      <c r="A362" s="504"/>
      <c r="B362" s="479" t="s">
        <v>1909</v>
      </c>
      <c r="C362" s="422" t="s">
        <v>56</v>
      </c>
      <c r="D362" s="480">
        <v>4.05</v>
      </c>
      <c r="E362" s="480"/>
      <c r="F362" s="480">
        <v>4.05</v>
      </c>
      <c r="G362" s="481"/>
      <c r="H362" s="507"/>
      <c r="I362" s="420"/>
      <c r="J362" s="420"/>
      <c r="K362" s="420"/>
      <c r="L362" s="420"/>
      <c r="M362" s="419"/>
      <c r="N362" s="419"/>
      <c r="O362" s="419"/>
      <c r="P362" s="419"/>
      <c r="Q362" s="419"/>
      <c r="R362" s="419"/>
      <c r="S362" s="419"/>
      <c r="T362" s="419"/>
      <c r="U362" s="419"/>
      <c r="V362" s="419"/>
      <c r="W362" s="419"/>
      <c r="X362" s="419"/>
      <c r="Y362" s="419"/>
      <c r="Z362" s="419"/>
      <c r="AA362" s="419"/>
      <c r="AB362" s="419"/>
      <c r="AC362" s="419"/>
      <c r="AD362" s="419"/>
      <c r="AE362" s="419"/>
      <c r="AF362" s="419"/>
      <c r="AG362" s="419"/>
      <c r="AH362" s="419"/>
      <c r="AI362" s="419"/>
      <c r="AJ362" s="419"/>
      <c r="AK362" s="419"/>
      <c r="AL362" s="419"/>
      <c r="AM362" s="419"/>
      <c r="AN362" s="419"/>
      <c r="AO362" s="419"/>
      <c r="AP362" s="419"/>
      <c r="AQ362" s="419"/>
      <c r="AR362" s="419"/>
      <c r="AS362" s="419"/>
      <c r="AT362" s="419"/>
      <c r="AU362" s="419"/>
      <c r="AV362" s="422" t="s">
        <v>300</v>
      </c>
      <c r="AW362" s="422"/>
      <c r="AX362" s="447"/>
      <c r="AY362" s="408"/>
      <c r="AZ362" s="449"/>
      <c r="BA362" s="449"/>
      <c r="BB362" s="449"/>
      <c r="BC362" s="483"/>
      <c r="BD362" s="483"/>
      <c r="BE362" s="483"/>
      <c r="BF362" s="483"/>
      <c r="BG362" s="483"/>
      <c r="BH362" s="449"/>
      <c r="BI362" s="429" t="s">
        <v>1859</v>
      </c>
      <c r="BJ362" s="429"/>
    </row>
    <row r="363" spans="1:62" s="485" customFormat="1" ht="37.5" customHeight="1">
      <c r="A363" s="504"/>
      <c r="B363" s="479" t="s">
        <v>1910</v>
      </c>
      <c r="C363" s="422" t="s">
        <v>56</v>
      </c>
      <c r="D363" s="480">
        <v>46.18</v>
      </c>
      <c r="E363" s="480"/>
      <c r="F363" s="480">
        <v>46.18</v>
      </c>
      <c r="G363" s="481"/>
      <c r="H363" s="507"/>
      <c r="I363" s="420"/>
      <c r="J363" s="420"/>
      <c r="K363" s="420"/>
      <c r="L363" s="420"/>
      <c r="M363" s="419"/>
      <c r="N363" s="419"/>
      <c r="O363" s="419"/>
      <c r="P363" s="419"/>
      <c r="Q363" s="419"/>
      <c r="R363" s="419"/>
      <c r="S363" s="419"/>
      <c r="T363" s="419"/>
      <c r="U363" s="419"/>
      <c r="V363" s="419"/>
      <c r="W363" s="419"/>
      <c r="X363" s="419"/>
      <c r="Y363" s="419"/>
      <c r="Z363" s="419"/>
      <c r="AA363" s="419"/>
      <c r="AB363" s="419"/>
      <c r="AC363" s="419"/>
      <c r="AD363" s="419"/>
      <c r="AE363" s="419"/>
      <c r="AF363" s="419"/>
      <c r="AG363" s="419"/>
      <c r="AH363" s="419"/>
      <c r="AI363" s="419"/>
      <c r="AJ363" s="419"/>
      <c r="AK363" s="419"/>
      <c r="AL363" s="419"/>
      <c r="AM363" s="419"/>
      <c r="AN363" s="419"/>
      <c r="AO363" s="419"/>
      <c r="AP363" s="419"/>
      <c r="AQ363" s="419"/>
      <c r="AR363" s="419"/>
      <c r="AS363" s="419"/>
      <c r="AT363" s="419"/>
      <c r="AU363" s="419"/>
      <c r="AV363" s="422" t="s">
        <v>318</v>
      </c>
      <c r="AW363" s="422"/>
      <c r="AX363" s="447"/>
      <c r="AY363" s="408"/>
      <c r="AZ363" s="449"/>
      <c r="BA363" s="449"/>
      <c r="BB363" s="449"/>
      <c r="BC363" s="483"/>
      <c r="BD363" s="483"/>
      <c r="BE363" s="483"/>
      <c r="BF363" s="483"/>
      <c r="BG363" s="483"/>
      <c r="BH363" s="449"/>
      <c r="BI363" s="429" t="s">
        <v>1859</v>
      </c>
      <c r="BJ363" s="429"/>
    </row>
    <row r="364" spans="1:62" s="485" customFormat="1" ht="37.5" customHeight="1">
      <c r="A364" s="504"/>
      <c r="B364" s="505" t="s">
        <v>1911</v>
      </c>
      <c r="C364" s="508" t="s">
        <v>56</v>
      </c>
      <c r="D364" s="506">
        <v>15</v>
      </c>
      <c r="E364" s="506"/>
      <c r="F364" s="506">
        <v>15</v>
      </c>
      <c r="G364" s="481"/>
      <c r="H364" s="507"/>
      <c r="I364" s="420"/>
      <c r="J364" s="420"/>
      <c r="K364" s="420"/>
      <c r="L364" s="420"/>
      <c r="M364" s="419"/>
      <c r="N364" s="419"/>
      <c r="O364" s="419"/>
      <c r="P364" s="419"/>
      <c r="Q364" s="419"/>
      <c r="R364" s="419"/>
      <c r="S364" s="419"/>
      <c r="T364" s="419"/>
      <c r="U364" s="419"/>
      <c r="V364" s="419"/>
      <c r="W364" s="419"/>
      <c r="X364" s="419"/>
      <c r="Y364" s="419"/>
      <c r="Z364" s="419"/>
      <c r="AA364" s="419"/>
      <c r="AB364" s="419"/>
      <c r="AC364" s="419"/>
      <c r="AD364" s="419"/>
      <c r="AE364" s="419"/>
      <c r="AF364" s="419"/>
      <c r="AG364" s="419"/>
      <c r="AH364" s="419"/>
      <c r="AI364" s="419"/>
      <c r="AJ364" s="419"/>
      <c r="AK364" s="419"/>
      <c r="AL364" s="419"/>
      <c r="AM364" s="419"/>
      <c r="AN364" s="419"/>
      <c r="AO364" s="419"/>
      <c r="AP364" s="419"/>
      <c r="AQ364" s="419"/>
      <c r="AR364" s="419"/>
      <c r="AS364" s="419"/>
      <c r="AT364" s="419"/>
      <c r="AU364" s="419"/>
      <c r="AV364" s="422" t="s">
        <v>318</v>
      </c>
      <c r="AW364" s="422"/>
      <c r="AX364" s="447"/>
      <c r="AY364" s="408"/>
      <c r="AZ364" s="449"/>
      <c r="BA364" s="449"/>
      <c r="BB364" s="449"/>
      <c r="BC364" s="483"/>
      <c r="BD364" s="483"/>
      <c r="BE364" s="483"/>
      <c r="BF364" s="483"/>
      <c r="BG364" s="483"/>
      <c r="BH364" s="449"/>
      <c r="BI364" s="429" t="s">
        <v>1859</v>
      </c>
      <c r="BJ364" s="429"/>
    </row>
    <row r="365" spans="1:62" s="485" customFormat="1" ht="37.5" customHeight="1">
      <c r="A365" s="504"/>
      <c r="B365" s="505" t="s">
        <v>1912</v>
      </c>
      <c r="C365" s="508" t="s">
        <v>56</v>
      </c>
      <c r="D365" s="506">
        <v>15</v>
      </c>
      <c r="E365" s="506"/>
      <c r="F365" s="506">
        <v>15</v>
      </c>
      <c r="G365" s="481"/>
      <c r="H365" s="507"/>
      <c r="I365" s="420"/>
      <c r="J365" s="420"/>
      <c r="K365" s="420"/>
      <c r="L365" s="420"/>
      <c r="M365" s="419"/>
      <c r="N365" s="419"/>
      <c r="O365" s="419"/>
      <c r="P365" s="419"/>
      <c r="Q365" s="419"/>
      <c r="R365" s="419"/>
      <c r="S365" s="419"/>
      <c r="T365" s="419"/>
      <c r="U365" s="419"/>
      <c r="V365" s="419"/>
      <c r="W365" s="419"/>
      <c r="X365" s="419"/>
      <c r="Y365" s="419"/>
      <c r="Z365" s="419"/>
      <c r="AA365" s="419"/>
      <c r="AB365" s="419"/>
      <c r="AC365" s="419"/>
      <c r="AD365" s="419"/>
      <c r="AE365" s="419"/>
      <c r="AF365" s="419"/>
      <c r="AG365" s="419"/>
      <c r="AH365" s="419"/>
      <c r="AI365" s="419"/>
      <c r="AJ365" s="419"/>
      <c r="AK365" s="419"/>
      <c r="AL365" s="419"/>
      <c r="AM365" s="419"/>
      <c r="AN365" s="419"/>
      <c r="AO365" s="419"/>
      <c r="AP365" s="419"/>
      <c r="AQ365" s="419"/>
      <c r="AR365" s="419"/>
      <c r="AS365" s="419"/>
      <c r="AT365" s="419"/>
      <c r="AU365" s="419"/>
      <c r="AV365" s="422" t="s">
        <v>318</v>
      </c>
      <c r="AW365" s="422"/>
      <c r="AX365" s="447"/>
      <c r="AY365" s="408"/>
      <c r="AZ365" s="449"/>
      <c r="BA365" s="449"/>
      <c r="BB365" s="449"/>
      <c r="BC365" s="483"/>
      <c r="BD365" s="483"/>
      <c r="BE365" s="483"/>
      <c r="BF365" s="483"/>
      <c r="BG365" s="483"/>
      <c r="BH365" s="449"/>
      <c r="BI365" s="429" t="s">
        <v>1859</v>
      </c>
      <c r="BJ365" s="429"/>
    </row>
    <row r="366" spans="1:62" s="485" customFormat="1" ht="37.5" customHeight="1">
      <c r="A366" s="504"/>
      <c r="B366" s="505" t="s">
        <v>1913</v>
      </c>
      <c r="C366" s="508" t="s">
        <v>56</v>
      </c>
      <c r="D366" s="506">
        <v>39</v>
      </c>
      <c r="E366" s="506"/>
      <c r="F366" s="506">
        <v>39</v>
      </c>
      <c r="G366" s="481"/>
      <c r="H366" s="507"/>
      <c r="I366" s="420"/>
      <c r="J366" s="420"/>
      <c r="K366" s="420"/>
      <c r="L366" s="420"/>
      <c r="M366" s="419"/>
      <c r="N366" s="419"/>
      <c r="O366" s="419"/>
      <c r="P366" s="419"/>
      <c r="Q366" s="419"/>
      <c r="R366" s="419"/>
      <c r="S366" s="419"/>
      <c r="T366" s="419"/>
      <c r="U366" s="419"/>
      <c r="V366" s="419"/>
      <c r="W366" s="419"/>
      <c r="X366" s="419"/>
      <c r="Y366" s="419"/>
      <c r="Z366" s="419"/>
      <c r="AA366" s="419"/>
      <c r="AB366" s="419"/>
      <c r="AC366" s="419"/>
      <c r="AD366" s="419"/>
      <c r="AE366" s="419"/>
      <c r="AF366" s="419"/>
      <c r="AG366" s="419"/>
      <c r="AH366" s="419"/>
      <c r="AI366" s="419"/>
      <c r="AJ366" s="419"/>
      <c r="AK366" s="419"/>
      <c r="AL366" s="419"/>
      <c r="AM366" s="419"/>
      <c r="AN366" s="419"/>
      <c r="AO366" s="419"/>
      <c r="AP366" s="419"/>
      <c r="AQ366" s="419"/>
      <c r="AR366" s="419"/>
      <c r="AS366" s="419"/>
      <c r="AT366" s="419"/>
      <c r="AU366" s="419"/>
      <c r="AV366" s="422" t="s">
        <v>318</v>
      </c>
      <c r="AW366" s="422"/>
      <c r="AX366" s="447"/>
      <c r="AY366" s="408"/>
      <c r="AZ366" s="449"/>
      <c r="BA366" s="449"/>
      <c r="BB366" s="449"/>
      <c r="BC366" s="483"/>
      <c r="BD366" s="483"/>
      <c r="BE366" s="483"/>
      <c r="BF366" s="483"/>
      <c r="BG366" s="483"/>
      <c r="BH366" s="449"/>
      <c r="BI366" s="429" t="s">
        <v>1859</v>
      </c>
      <c r="BJ366" s="429"/>
    </row>
    <row r="367" spans="1:62" s="485" customFormat="1" ht="37.5" customHeight="1">
      <c r="A367" s="504"/>
      <c r="B367" s="505" t="s">
        <v>1914</v>
      </c>
      <c r="C367" s="508" t="s">
        <v>56</v>
      </c>
      <c r="D367" s="506">
        <v>17.2</v>
      </c>
      <c r="E367" s="506"/>
      <c r="F367" s="506">
        <v>17.2</v>
      </c>
      <c r="G367" s="481"/>
      <c r="H367" s="507"/>
      <c r="I367" s="420"/>
      <c r="J367" s="420"/>
      <c r="K367" s="420"/>
      <c r="L367" s="420"/>
      <c r="M367" s="419"/>
      <c r="N367" s="419"/>
      <c r="O367" s="419"/>
      <c r="P367" s="419"/>
      <c r="Q367" s="419"/>
      <c r="R367" s="419"/>
      <c r="S367" s="419"/>
      <c r="T367" s="419"/>
      <c r="U367" s="419"/>
      <c r="V367" s="419"/>
      <c r="W367" s="419"/>
      <c r="X367" s="419"/>
      <c r="Y367" s="419"/>
      <c r="Z367" s="419"/>
      <c r="AA367" s="419"/>
      <c r="AB367" s="419"/>
      <c r="AC367" s="419"/>
      <c r="AD367" s="419"/>
      <c r="AE367" s="419"/>
      <c r="AF367" s="419"/>
      <c r="AG367" s="419"/>
      <c r="AH367" s="419"/>
      <c r="AI367" s="419"/>
      <c r="AJ367" s="419"/>
      <c r="AK367" s="419"/>
      <c r="AL367" s="419"/>
      <c r="AM367" s="419"/>
      <c r="AN367" s="419"/>
      <c r="AO367" s="419"/>
      <c r="AP367" s="419"/>
      <c r="AQ367" s="419"/>
      <c r="AR367" s="419"/>
      <c r="AS367" s="419"/>
      <c r="AT367" s="419"/>
      <c r="AU367" s="419"/>
      <c r="AV367" s="422" t="s">
        <v>318</v>
      </c>
      <c r="AW367" s="422"/>
      <c r="AX367" s="447"/>
      <c r="AY367" s="408"/>
      <c r="AZ367" s="449"/>
      <c r="BA367" s="449"/>
      <c r="BB367" s="449"/>
      <c r="BC367" s="483"/>
      <c r="BD367" s="483"/>
      <c r="BE367" s="483"/>
      <c r="BF367" s="483"/>
      <c r="BG367" s="483"/>
      <c r="BH367" s="449"/>
      <c r="BI367" s="429" t="s">
        <v>1859</v>
      </c>
      <c r="BJ367" s="429"/>
    </row>
    <row r="368" spans="1:62" s="485" customFormat="1" ht="37.5" customHeight="1">
      <c r="A368" s="504"/>
      <c r="B368" s="505" t="s">
        <v>1915</v>
      </c>
      <c r="C368" s="508" t="s">
        <v>56</v>
      </c>
      <c r="D368" s="506">
        <v>15.29</v>
      </c>
      <c r="E368" s="506"/>
      <c r="F368" s="506">
        <v>15.29</v>
      </c>
      <c r="G368" s="481"/>
      <c r="H368" s="507"/>
      <c r="I368" s="420"/>
      <c r="J368" s="420"/>
      <c r="K368" s="420"/>
      <c r="L368" s="420"/>
      <c r="M368" s="419"/>
      <c r="N368" s="419"/>
      <c r="O368" s="419"/>
      <c r="P368" s="419"/>
      <c r="Q368" s="419"/>
      <c r="R368" s="419"/>
      <c r="S368" s="419"/>
      <c r="T368" s="419"/>
      <c r="U368" s="419"/>
      <c r="V368" s="419"/>
      <c r="W368" s="419"/>
      <c r="X368" s="419"/>
      <c r="Y368" s="419"/>
      <c r="Z368" s="419"/>
      <c r="AA368" s="419"/>
      <c r="AB368" s="419"/>
      <c r="AC368" s="419"/>
      <c r="AD368" s="419"/>
      <c r="AE368" s="419"/>
      <c r="AF368" s="419"/>
      <c r="AG368" s="419"/>
      <c r="AH368" s="419"/>
      <c r="AI368" s="419"/>
      <c r="AJ368" s="419"/>
      <c r="AK368" s="419"/>
      <c r="AL368" s="419"/>
      <c r="AM368" s="419"/>
      <c r="AN368" s="419"/>
      <c r="AO368" s="419"/>
      <c r="AP368" s="419"/>
      <c r="AQ368" s="419"/>
      <c r="AR368" s="419"/>
      <c r="AS368" s="419"/>
      <c r="AT368" s="419"/>
      <c r="AU368" s="419"/>
      <c r="AV368" s="422" t="s">
        <v>318</v>
      </c>
      <c r="AW368" s="422"/>
      <c r="AX368" s="447"/>
      <c r="AY368" s="408"/>
      <c r="AZ368" s="449"/>
      <c r="BA368" s="449"/>
      <c r="BB368" s="449"/>
      <c r="BC368" s="483"/>
      <c r="BD368" s="483"/>
      <c r="BE368" s="483"/>
      <c r="BF368" s="483"/>
      <c r="BG368" s="483"/>
      <c r="BH368" s="449"/>
      <c r="BI368" s="429" t="s">
        <v>1859</v>
      </c>
      <c r="BJ368" s="429"/>
    </row>
    <row r="369" spans="1:62" s="485" customFormat="1" ht="37.5" customHeight="1">
      <c r="A369" s="504"/>
      <c r="B369" s="505" t="s">
        <v>1916</v>
      </c>
      <c r="C369" s="508" t="s">
        <v>56</v>
      </c>
      <c r="D369" s="506">
        <v>109.73</v>
      </c>
      <c r="E369" s="506"/>
      <c r="F369" s="506">
        <v>109.73</v>
      </c>
      <c r="G369" s="481"/>
      <c r="H369" s="507"/>
      <c r="I369" s="420"/>
      <c r="J369" s="420"/>
      <c r="K369" s="420"/>
      <c r="L369" s="420"/>
      <c r="M369" s="419"/>
      <c r="N369" s="419"/>
      <c r="O369" s="419"/>
      <c r="P369" s="419"/>
      <c r="Q369" s="419"/>
      <c r="R369" s="419"/>
      <c r="S369" s="419"/>
      <c r="T369" s="419"/>
      <c r="U369" s="419"/>
      <c r="V369" s="419"/>
      <c r="W369" s="419"/>
      <c r="X369" s="419"/>
      <c r="Y369" s="419"/>
      <c r="Z369" s="419"/>
      <c r="AA369" s="419"/>
      <c r="AB369" s="419"/>
      <c r="AC369" s="419"/>
      <c r="AD369" s="419"/>
      <c r="AE369" s="419"/>
      <c r="AF369" s="419"/>
      <c r="AG369" s="419"/>
      <c r="AH369" s="419"/>
      <c r="AI369" s="419"/>
      <c r="AJ369" s="419"/>
      <c r="AK369" s="419"/>
      <c r="AL369" s="419"/>
      <c r="AM369" s="419"/>
      <c r="AN369" s="419"/>
      <c r="AO369" s="419"/>
      <c r="AP369" s="419"/>
      <c r="AQ369" s="419"/>
      <c r="AR369" s="419"/>
      <c r="AS369" s="419"/>
      <c r="AT369" s="419"/>
      <c r="AU369" s="419"/>
      <c r="AV369" s="422" t="s">
        <v>318</v>
      </c>
      <c r="AW369" s="422"/>
      <c r="AX369" s="447"/>
      <c r="AY369" s="408"/>
      <c r="AZ369" s="449"/>
      <c r="BA369" s="449"/>
      <c r="BB369" s="449"/>
      <c r="BC369" s="483"/>
      <c r="BD369" s="483"/>
      <c r="BE369" s="483"/>
      <c r="BF369" s="483"/>
      <c r="BG369" s="483"/>
      <c r="BH369" s="449"/>
      <c r="BI369" s="484" t="s">
        <v>1917</v>
      </c>
      <c r="BJ369" s="429"/>
    </row>
    <row r="370" spans="1:62" s="485" customFormat="1" ht="37.5" customHeight="1">
      <c r="A370" s="504"/>
      <c r="B370" s="505" t="s">
        <v>759</v>
      </c>
      <c r="C370" s="508" t="s">
        <v>56</v>
      </c>
      <c r="D370" s="506">
        <v>163.16</v>
      </c>
      <c r="E370" s="506"/>
      <c r="F370" s="506">
        <v>163.16</v>
      </c>
      <c r="G370" s="481"/>
      <c r="H370" s="507"/>
      <c r="I370" s="420"/>
      <c r="J370" s="420"/>
      <c r="K370" s="420"/>
      <c r="L370" s="420"/>
      <c r="M370" s="419"/>
      <c r="N370" s="419"/>
      <c r="O370" s="419"/>
      <c r="P370" s="419"/>
      <c r="Q370" s="419"/>
      <c r="R370" s="419"/>
      <c r="S370" s="419"/>
      <c r="T370" s="419"/>
      <c r="U370" s="419"/>
      <c r="V370" s="419"/>
      <c r="W370" s="419"/>
      <c r="X370" s="419"/>
      <c r="Y370" s="419"/>
      <c r="Z370" s="419"/>
      <c r="AA370" s="419"/>
      <c r="AB370" s="419"/>
      <c r="AC370" s="419"/>
      <c r="AD370" s="419"/>
      <c r="AE370" s="419"/>
      <c r="AF370" s="419"/>
      <c r="AG370" s="419"/>
      <c r="AH370" s="419"/>
      <c r="AI370" s="419"/>
      <c r="AJ370" s="419"/>
      <c r="AK370" s="419"/>
      <c r="AL370" s="419"/>
      <c r="AM370" s="419"/>
      <c r="AN370" s="419"/>
      <c r="AO370" s="419"/>
      <c r="AP370" s="419"/>
      <c r="AQ370" s="419"/>
      <c r="AR370" s="419"/>
      <c r="AS370" s="419"/>
      <c r="AT370" s="419"/>
      <c r="AU370" s="419"/>
      <c r="AV370" s="422" t="s">
        <v>318</v>
      </c>
      <c r="AW370" s="422"/>
      <c r="AX370" s="447"/>
      <c r="AY370" s="408"/>
      <c r="AZ370" s="449"/>
      <c r="BA370" s="449"/>
      <c r="BB370" s="449"/>
      <c r="BC370" s="483"/>
      <c r="BD370" s="483"/>
      <c r="BE370" s="483"/>
      <c r="BF370" s="483"/>
      <c r="BG370" s="483"/>
      <c r="BH370" s="449"/>
      <c r="BI370" s="484" t="s">
        <v>1918</v>
      </c>
      <c r="BJ370" s="429"/>
    </row>
    <row r="371" spans="1:62" s="485" customFormat="1" ht="37.5" customHeight="1">
      <c r="A371" s="504"/>
      <c r="B371" s="505" t="s">
        <v>1919</v>
      </c>
      <c r="C371" s="508" t="s">
        <v>56</v>
      </c>
      <c r="D371" s="506">
        <v>55.81</v>
      </c>
      <c r="E371" s="506"/>
      <c r="F371" s="506">
        <v>55.81</v>
      </c>
      <c r="G371" s="481"/>
      <c r="H371" s="507"/>
      <c r="I371" s="420"/>
      <c r="J371" s="420"/>
      <c r="K371" s="420"/>
      <c r="L371" s="420"/>
      <c r="M371" s="419"/>
      <c r="N371" s="419"/>
      <c r="O371" s="419"/>
      <c r="P371" s="419"/>
      <c r="Q371" s="419"/>
      <c r="R371" s="419"/>
      <c r="S371" s="419"/>
      <c r="T371" s="419"/>
      <c r="U371" s="419"/>
      <c r="V371" s="419"/>
      <c r="W371" s="419"/>
      <c r="X371" s="419"/>
      <c r="Y371" s="419"/>
      <c r="Z371" s="419"/>
      <c r="AA371" s="419"/>
      <c r="AB371" s="419"/>
      <c r="AC371" s="419"/>
      <c r="AD371" s="419"/>
      <c r="AE371" s="419"/>
      <c r="AF371" s="419"/>
      <c r="AG371" s="419"/>
      <c r="AH371" s="419"/>
      <c r="AI371" s="419"/>
      <c r="AJ371" s="419"/>
      <c r="AK371" s="419"/>
      <c r="AL371" s="419"/>
      <c r="AM371" s="419"/>
      <c r="AN371" s="419"/>
      <c r="AO371" s="419"/>
      <c r="AP371" s="419"/>
      <c r="AQ371" s="419"/>
      <c r="AR371" s="419"/>
      <c r="AS371" s="419"/>
      <c r="AT371" s="419"/>
      <c r="AU371" s="419"/>
      <c r="AV371" s="422" t="s">
        <v>318</v>
      </c>
      <c r="AW371" s="422"/>
      <c r="AX371" s="447"/>
      <c r="AY371" s="408"/>
      <c r="AZ371" s="449"/>
      <c r="BA371" s="449"/>
      <c r="BB371" s="449"/>
      <c r="BC371" s="483"/>
      <c r="BD371" s="483"/>
      <c r="BE371" s="483"/>
      <c r="BF371" s="483"/>
      <c r="BG371" s="483"/>
      <c r="BH371" s="449"/>
      <c r="BI371" s="429" t="s">
        <v>1859</v>
      </c>
      <c r="BJ371" s="429"/>
    </row>
    <row r="372" spans="1:62" s="485" customFormat="1" ht="37.5" customHeight="1">
      <c r="A372" s="504"/>
      <c r="B372" s="505" t="s">
        <v>1920</v>
      </c>
      <c r="C372" s="508" t="s">
        <v>56</v>
      </c>
      <c r="D372" s="506">
        <v>36.69</v>
      </c>
      <c r="E372" s="506"/>
      <c r="F372" s="506">
        <v>36.69</v>
      </c>
      <c r="G372" s="481"/>
      <c r="H372" s="507"/>
      <c r="I372" s="420"/>
      <c r="J372" s="420"/>
      <c r="K372" s="420"/>
      <c r="L372" s="420"/>
      <c r="M372" s="419"/>
      <c r="N372" s="419"/>
      <c r="O372" s="419"/>
      <c r="P372" s="419"/>
      <c r="Q372" s="419"/>
      <c r="R372" s="419"/>
      <c r="S372" s="419"/>
      <c r="T372" s="419"/>
      <c r="U372" s="419"/>
      <c r="V372" s="419"/>
      <c r="W372" s="419"/>
      <c r="X372" s="419"/>
      <c r="Y372" s="419"/>
      <c r="Z372" s="419"/>
      <c r="AA372" s="419"/>
      <c r="AB372" s="419"/>
      <c r="AC372" s="419"/>
      <c r="AD372" s="419"/>
      <c r="AE372" s="419"/>
      <c r="AF372" s="419"/>
      <c r="AG372" s="419"/>
      <c r="AH372" s="419"/>
      <c r="AI372" s="419"/>
      <c r="AJ372" s="419"/>
      <c r="AK372" s="419"/>
      <c r="AL372" s="419"/>
      <c r="AM372" s="419"/>
      <c r="AN372" s="419"/>
      <c r="AO372" s="419"/>
      <c r="AP372" s="419"/>
      <c r="AQ372" s="419"/>
      <c r="AR372" s="419"/>
      <c r="AS372" s="419"/>
      <c r="AT372" s="419"/>
      <c r="AU372" s="419"/>
      <c r="AV372" s="422" t="s">
        <v>318</v>
      </c>
      <c r="AW372" s="422"/>
      <c r="AX372" s="447"/>
      <c r="AY372" s="408"/>
      <c r="AZ372" s="449"/>
      <c r="BA372" s="449"/>
      <c r="BB372" s="449"/>
      <c r="BC372" s="483"/>
      <c r="BD372" s="483"/>
      <c r="BE372" s="483"/>
      <c r="BF372" s="483"/>
      <c r="BG372" s="483"/>
      <c r="BH372" s="449"/>
      <c r="BI372" s="429" t="s">
        <v>1859</v>
      </c>
      <c r="BJ372" s="429"/>
    </row>
    <row r="373" spans="1:62" s="485" customFormat="1" ht="37.5" customHeight="1">
      <c r="A373" s="504"/>
      <c r="B373" s="505" t="s">
        <v>1921</v>
      </c>
      <c r="C373" s="508" t="s">
        <v>56</v>
      </c>
      <c r="D373" s="506">
        <v>113.79</v>
      </c>
      <c r="E373" s="506"/>
      <c r="F373" s="506">
        <v>113.79</v>
      </c>
      <c r="G373" s="481"/>
      <c r="H373" s="507"/>
      <c r="I373" s="420"/>
      <c r="J373" s="420"/>
      <c r="K373" s="420"/>
      <c r="L373" s="420"/>
      <c r="M373" s="419"/>
      <c r="N373" s="419"/>
      <c r="O373" s="419"/>
      <c r="P373" s="419"/>
      <c r="Q373" s="419"/>
      <c r="R373" s="419"/>
      <c r="S373" s="419"/>
      <c r="T373" s="419"/>
      <c r="U373" s="419"/>
      <c r="V373" s="419"/>
      <c r="W373" s="419"/>
      <c r="X373" s="419"/>
      <c r="Y373" s="419"/>
      <c r="Z373" s="419"/>
      <c r="AA373" s="419"/>
      <c r="AB373" s="419"/>
      <c r="AC373" s="419"/>
      <c r="AD373" s="419"/>
      <c r="AE373" s="419"/>
      <c r="AF373" s="419"/>
      <c r="AG373" s="419"/>
      <c r="AH373" s="419"/>
      <c r="AI373" s="419"/>
      <c r="AJ373" s="419"/>
      <c r="AK373" s="419"/>
      <c r="AL373" s="419"/>
      <c r="AM373" s="419"/>
      <c r="AN373" s="419"/>
      <c r="AO373" s="419"/>
      <c r="AP373" s="419"/>
      <c r="AQ373" s="419"/>
      <c r="AR373" s="419"/>
      <c r="AS373" s="419"/>
      <c r="AT373" s="419"/>
      <c r="AU373" s="419"/>
      <c r="AV373" s="422" t="s">
        <v>318</v>
      </c>
      <c r="AW373" s="422"/>
      <c r="AX373" s="447"/>
      <c r="AY373" s="408"/>
      <c r="AZ373" s="449"/>
      <c r="BA373" s="449"/>
      <c r="BB373" s="449"/>
      <c r="BC373" s="483"/>
      <c r="BD373" s="483"/>
      <c r="BE373" s="483"/>
      <c r="BF373" s="483"/>
      <c r="BG373" s="483"/>
      <c r="BH373" s="449"/>
      <c r="BI373" s="429" t="s">
        <v>1859</v>
      </c>
      <c r="BJ373" s="429"/>
    </row>
    <row r="374" spans="1:62" s="485" customFormat="1" ht="37.5" customHeight="1">
      <c r="A374" s="504"/>
      <c r="B374" s="505" t="s">
        <v>1957</v>
      </c>
      <c r="C374" s="508" t="s">
        <v>56</v>
      </c>
      <c r="D374" s="506">
        <v>5</v>
      </c>
      <c r="E374" s="506"/>
      <c r="F374" s="506">
        <v>5</v>
      </c>
      <c r="G374" s="481"/>
      <c r="H374" s="507"/>
      <c r="I374" s="420"/>
      <c r="J374" s="420"/>
      <c r="K374" s="420"/>
      <c r="L374" s="420"/>
      <c r="M374" s="419"/>
      <c r="N374" s="419"/>
      <c r="O374" s="419"/>
      <c r="P374" s="419"/>
      <c r="Q374" s="419"/>
      <c r="R374" s="419"/>
      <c r="S374" s="419"/>
      <c r="T374" s="419"/>
      <c r="U374" s="419"/>
      <c r="V374" s="419"/>
      <c r="W374" s="419"/>
      <c r="X374" s="419"/>
      <c r="Y374" s="419"/>
      <c r="Z374" s="419"/>
      <c r="AA374" s="419"/>
      <c r="AB374" s="419"/>
      <c r="AC374" s="419"/>
      <c r="AD374" s="419"/>
      <c r="AE374" s="419"/>
      <c r="AF374" s="419"/>
      <c r="AG374" s="419"/>
      <c r="AH374" s="419"/>
      <c r="AI374" s="419"/>
      <c r="AJ374" s="419"/>
      <c r="AK374" s="419"/>
      <c r="AL374" s="419"/>
      <c r="AM374" s="419"/>
      <c r="AN374" s="419"/>
      <c r="AO374" s="419"/>
      <c r="AP374" s="419"/>
      <c r="AQ374" s="419"/>
      <c r="AR374" s="419"/>
      <c r="AS374" s="419"/>
      <c r="AT374" s="419"/>
      <c r="AU374" s="419"/>
      <c r="AV374" s="422" t="s">
        <v>258</v>
      </c>
      <c r="AW374" s="422"/>
      <c r="AX374" s="447"/>
      <c r="AY374" s="408"/>
      <c r="AZ374" s="449"/>
      <c r="BA374" s="449"/>
      <c r="BB374" s="449"/>
      <c r="BC374" s="483"/>
      <c r="BD374" s="483"/>
      <c r="BE374" s="483"/>
      <c r="BF374" s="483"/>
      <c r="BG374" s="483"/>
      <c r="BH374" s="449"/>
      <c r="BI374" s="429"/>
      <c r="BJ374" s="429"/>
    </row>
    <row r="375" spans="1:62" s="485" customFormat="1" ht="37.5" customHeight="1">
      <c r="A375" s="504"/>
      <c r="B375" s="505" t="s">
        <v>1958</v>
      </c>
      <c r="C375" s="508" t="s">
        <v>56</v>
      </c>
      <c r="D375" s="506">
        <v>5</v>
      </c>
      <c r="E375" s="506"/>
      <c r="F375" s="506">
        <v>5</v>
      </c>
      <c r="G375" s="481"/>
      <c r="H375" s="507"/>
      <c r="I375" s="420"/>
      <c r="J375" s="420"/>
      <c r="K375" s="420"/>
      <c r="L375" s="420"/>
      <c r="M375" s="419"/>
      <c r="N375" s="419"/>
      <c r="O375" s="419"/>
      <c r="P375" s="419"/>
      <c r="Q375" s="419"/>
      <c r="R375" s="419"/>
      <c r="S375" s="419"/>
      <c r="T375" s="419"/>
      <c r="U375" s="419"/>
      <c r="V375" s="419"/>
      <c r="W375" s="419"/>
      <c r="X375" s="419"/>
      <c r="Y375" s="419"/>
      <c r="Z375" s="419"/>
      <c r="AA375" s="419"/>
      <c r="AB375" s="419"/>
      <c r="AC375" s="419"/>
      <c r="AD375" s="419"/>
      <c r="AE375" s="419"/>
      <c r="AF375" s="419"/>
      <c r="AG375" s="419"/>
      <c r="AH375" s="419"/>
      <c r="AI375" s="419"/>
      <c r="AJ375" s="419"/>
      <c r="AK375" s="419"/>
      <c r="AL375" s="419"/>
      <c r="AM375" s="419"/>
      <c r="AN375" s="419"/>
      <c r="AO375" s="419"/>
      <c r="AP375" s="419"/>
      <c r="AQ375" s="419"/>
      <c r="AR375" s="419"/>
      <c r="AS375" s="419"/>
      <c r="AT375" s="419"/>
      <c r="AU375" s="419"/>
      <c r="AV375" s="422" t="s">
        <v>300</v>
      </c>
      <c r="AW375" s="422"/>
      <c r="AX375" s="447"/>
      <c r="AY375" s="408"/>
      <c r="AZ375" s="449"/>
      <c r="BA375" s="449"/>
      <c r="BB375" s="449"/>
      <c r="BC375" s="483"/>
      <c r="BD375" s="483"/>
      <c r="BE375" s="483"/>
      <c r="BF375" s="483"/>
      <c r="BG375" s="483"/>
      <c r="BH375" s="449"/>
      <c r="BI375" s="429"/>
      <c r="BJ375" s="429"/>
    </row>
    <row r="376" spans="1:62" s="485" customFormat="1" ht="37.5" customHeight="1">
      <c r="A376" s="504"/>
      <c r="B376" s="505" t="s">
        <v>1959</v>
      </c>
      <c r="C376" s="508" t="s">
        <v>56</v>
      </c>
      <c r="D376" s="506">
        <v>5</v>
      </c>
      <c r="E376" s="506"/>
      <c r="F376" s="506">
        <v>5</v>
      </c>
      <c r="G376" s="481"/>
      <c r="H376" s="507"/>
      <c r="I376" s="420"/>
      <c r="J376" s="420"/>
      <c r="K376" s="420"/>
      <c r="L376" s="420"/>
      <c r="M376" s="419"/>
      <c r="N376" s="419"/>
      <c r="O376" s="419"/>
      <c r="P376" s="419"/>
      <c r="Q376" s="419"/>
      <c r="R376" s="419"/>
      <c r="S376" s="419"/>
      <c r="T376" s="419"/>
      <c r="U376" s="419"/>
      <c r="V376" s="419"/>
      <c r="W376" s="419"/>
      <c r="X376" s="419"/>
      <c r="Y376" s="419"/>
      <c r="Z376" s="419"/>
      <c r="AA376" s="419"/>
      <c r="AB376" s="419"/>
      <c r="AC376" s="419"/>
      <c r="AD376" s="419"/>
      <c r="AE376" s="419"/>
      <c r="AF376" s="419"/>
      <c r="AG376" s="419"/>
      <c r="AH376" s="419"/>
      <c r="AI376" s="419"/>
      <c r="AJ376" s="419"/>
      <c r="AK376" s="419"/>
      <c r="AL376" s="419"/>
      <c r="AM376" s="419"/>
      <c r="AN376" s="419"/>
      <c r="AO376" s="419"/>
      <c r="AP376" s="419"/>
      <c r="AQ376" s="419"/>
      <c r="AR376" s="419"/>
      <c r="AS376" s="419"/>
      <c r="AT376" s="419"/>
      <c r="AU376" s="419"/>
      <c r="AV376" s="422" t="s">
        <v>286</v>
      </c>
      <c r="AW376" s="422"/>
      <c r="AX376" s="447"/>
      <c r="AY376" s="408"/>
      <c r="AZ376" s="449"/>
      <c r="BA376" s="449"/>
      <c r="BB376" s="449"/>
      <c r="BC376" s="483"/>
      <c r="BD376" s="483"/>
      <c r="BE376" s="483"/>
      <c r="BF376" s="483"/>
      <c r="BG376" s="483"/>
      <c r="BH376" s="449"/>
      <c r="BI376" s="429"/>
      <c r="BJ376" s="429"/>
    </row>
    <row r="377" spans="1:62" s="485" customFormat="1" ht="37.5" customHeight="1">
      <c r="A377" s="504"/>
      <c r="B377" s="505" t="s">
        <v>1960</v>
      </c>
      <c r="C377" s="508" t="s">
        <v>56</v>
      </c>
      <c r="D377" s="506">
        <v>5</v>
      </c>
      <c r="E377" s="506"/>
      <c r="F377" s="506">
        <v>5</v>
      </c>
      <c r="G377" s="481"/>
      <c r="H377" s="507"/>
      <c r="I377" s="420"/>
      <c r="J377" s="420"/>
      <c r="K377" s="420"/>
      <c r="L377" s="420"/>
      <c r="M377" s="419"/>
      <c r="N377" s="419"/>
      <c r="O377" s="419"/>
      <c r="P377" s="419"/>
      <c r="Q377" s="419"/>
      <c r="R377" s="419"/>
      <c r="S377" s="419"/>
      <c r="T377" s="419"/>
      <c r="U377" s="419"/>
      <c r="V377" s="419"/>
      <c r="W377" s="419"/>
      <c r="X377" s="419"/>
      <c r="Y377" s="419"/>
      <c r="Z377" s="419"/>
      <c r="AA377" s="419"/>
      <c r="AB377" s="419"/>
      <c r="AC377" s="419"/>
      <c r="AD377" s="419"/>
      <c r="AE377" s="419"/>
      <c r="AF377" s="419"/>
      <c r="AG377" s="419"/>
      <c r="AH377" s="419"/>
      <c r="AI377" s="419"/>
      <c r="AJ377" s="419"/>
      <c r="AK377" s="419"/>
      <c r="AL377" s="419"/>
      <c r="AM377" s="419"/>
      <c r="AN377" s="419"/>
      <c r="AO377" s="419"/>
      <c r="AP377" s="419"/>
      <c r="AQ377" s="419"/>
      <c r="AR377" s="419"/>
      <c r="AS377" s="419"/>
      <c r="AT377" s="419"/>
      <c r="AU377" s="419"/>
      <c r="AV377" s="422" t="s">
        <v>292</v>
      </c>
      <c r="AW377" s="422"/>
      <c r="AX377" s="447"/>
      <c r="AY377" s="408"/>
      <c r="AZ377" s="449"/>
      <c r="BA377" s="449"/>
      <c r="BB377" s="449"/>
      <c r="BC377" s="483"/>
      <c r="BD377" s="483"/>
      <c r="BE377" s="483"/>
      <c r="BF377" s="483"/>
      <c r="BG377" s="483"/>
      <c r="BH377" s="449"/>
      <c r="BI377" s="429"/>
      <c r="BJ377" s="429"/>
    </row>
    <row r="378" spans="1:62" ht="25" customHeight="1">
      <c r="A378" s="509" t="s">
        <v>1731</v>
      </c>
      <c r="B378" s="510" t="s">
        <v>96</v>
      </c>
      <c r="C378" s="509"/>
      <c r="D378" s="354"/>
      <c r="E378" s="354"/>
      <c r="F378" s="354"/>
      <c r="G378" s="414"/>
      <c r="H378" s="413"/>
      <c r="I378" s="413"/>
      <c r="J378" s="413"/>
      <c r="K378" s="413" t="str">
        <f>IF(M378&lt;&gt;0,$M$5&amp;", ","")&amp;IF(N378&lt;&gt;0,$N$5&amp;", ","")&amp;IF(O378&lt;&gt;0,O$5&amp;", ","")&amp;IF(P378&lt;&gt;0,P$5&amp;", ","")&amp;IF(Q378&lt;&gt;0,Q$5&amp;", ","")&amp;IF(R378&lt;&gt;0,R$5&amp;", ","")&amp;IF(S378&lt;&gt;0,S$5&amp;", ","")&amp;IF(T378&lt;&gt;0,T$5&amp;", ","")&amp;IF(U378&lt;&gt;0,U$5&amp;", ","")&amp;IF(V378&lt;&gt;0,V$5&amp;", ","")&amp;IF(W378&lt;&gt;0,W$5&amp;", ","")&amp;IF(X378&lt;&gt;0,X$5&amp;", ","")&amp;IF(Y378&lt;&gt;0,Y$5&amp;", ","")&amp;IF(Z378&lt;&gt;0,Z$5&amp;", ","")&amp;IF(AA378&lt;&gt;0,AA$5&amp;", ","")&amp;IF(AB378&lt;&gt;0,AB$5&amp;", ","")&amp;IF(AC378&lt;&gt;0,AC$5&amp;", ","")&amp;IF(AD378&lt;&gt;0,AD$5&amp;", ","")&amp;IF(AE378&lt;&gt;0,AE$5&amp;", ","")&amp;IF(AF378&lt;&gt;0,AF$5&amp;", ","")&amp;IF(AG378&lt;&gt;0,AG$5&amp;", ","")&amp;IF(AH378&lt;&gt;0,AH$5&amp;", ","")&amp;IF(AI378&lt;&gt;0,AI$5&amp;", ","")&amp;IF(AJ378&lt;&gt;0,AJ$5&amp;", ","")&amp;IF(AK378&lt;&gt;0,AK$5&amp;", ","")&amp;IF(AL378&lt;&gt;0,AL$5&amp;", ","")&amp;IF(AM378&lt;&gt;0,AM$5&amp;", ","")&amp;IF(AN378&lt;&gt;0,AN$5&amp;", ","")&amp;IF(AO378&lt;&gt;0,AO$5&amp;", ","")&amp;IF(AP378&lt;&gt;0,AP$5&amp;", ","")&amp;IF(AQ378&lt;&gt;0,AQ$5&amp;", ","")&amp;IF(AR378&lt;&gt;0,AR$5,"")&amp;IF(AS378&lt;&gt;0,AS$5,"")&amp;IF(AT378&lt;&gt;0,AT$5,"")&amp;IF(AU378&lt;&gt;0,AU$5,"")</f>
        <v/>
      </c>
      <c r="L378" s="413" t="str">
        <f>IF(M378="","",$M$5&amp;":"&amp;M378&amp;";")&amp;IF(N378="","",$N$5&amp;":"&amp;N378&amp;";")&amp;IF(O378="","",$O$5&amp;":"&amp;O378&amp;";")&amp;IF(P378="","",$P$5&amp;":"&amp;P378&amp;";")&amp;IF(Q378="","",$Q$5&amp;":"&amp;Q378&amp;";")&amp;IF(R378="","",$R$5&amp;":"&amp;R378&amp;";")&amp;IF(S378="","",$S$5&amp;":"&amp;S378&amp;";")&amp;IF(T378="","",$T$5&amp;":"&amp;T378&amp;";")&amp;IF(U378="","",$U$5&amp;":"&amp;U378&amp;";")&amp;IF(V378="","",$V$5&amp;":"&amp;V378&amp;";")&amp;IF(W378="","",$W$5&amp;":"&amp;W378&amp;";")&amp;IF(X378="","",$X$5&amp;":"&amp;X378&amp;";")&amp;IF(Y378="","",$Y$5&amp;":"&amp;Y378&amp;";")&amp;IF(Z378="","",$Z$5&amp;":"&amp;Z378&amp;";")&amp;IF(AA378="","",$AA$5&amp;":"&amp;AA378&amp;";")&amp;IF(AB378="","",$AB$5&amp;":"&amp;AB378&amp;";")&amp;IF(AC378="","",$AC$5&amp;":"&amp;AC378&amp;";")&amp;IF(AD378="","",$AD$5&amp;":"&amp;AD378&amp;";")&amp;IF(AE378="","",$AE$5&amp;":"&amp;AE378&amp;";")&amp;IF(AF378="","",$AF$5&amp;":"&amp;AF378&amp;";")&amp;IF(AG378="","",$AG$5&amp;":"&amp;AG378&amp;";")&amp;IF(AH378="","",$AH$5&amp;":"&amp;AH378&amp;";")&amp;IF(AI378="","",$AI$5&amp;":"&amp;AI378&amp;";")&amp;IF(AJ378="","",$AJ$5&amp;":"&amp;AJ378&amp;";")&amp;IF(AK378="","",$AK$5&amp;":"&amp;AK378&amp;";")&amp;IF(AL378="","",$AL$5&amp;":"&amp;AL378&amp;";")&amp;IF(AM378="","",$AM$5&amp;":"&amp;AM378&amp;";")&amp;IF(AN378="","",$AN$5&amp;":"&amp;AN378&amp;";")&amp;IF(AO378="","",$AO$5&amp;":"&amp;AO378&amp;";")&amp;IF(AP378="","",$AP$5&amp;":"&amp;AP378&amp;";")&amp;IF(AQ378="","",$AQ$5&amp;":"&amp;AQ378&amp;";")&amp;IF(AR378="","",$AR$5&amp;":"&amp;AR378&amp;";")&amp;IF(AS378="","",$AS$5&amp;":"&amp;AS378&amp;";")&amp;IF(AT378="","",$AT$5&amp;":"&amp;AT378&amp;";")&amp;IF(AU378="","",$AU$5&amp;":"&amp;AU378&amp;";")</f>
        <v/>
      </c>
      <c r="M378" s="350"/>
      <c r="N378" s="350"/>
      <c r="O378" s="350"/>
      <c r="P378" s="350"/>
      <c r="Q378" s="350"/>
      <c r="R378" s="350"/>
      <c r="S378" s="350"/>
      <c r="T378" s="350"/>
      <c r="U378" s="350"/>
      <c r="V378" s="350"/>
      <c r="W378" s="350"/>
      <c r="X378" s="350"/>
      <c r="Y378" s="350"/>
      <c r="Z378" s="350"/>
      <c r="AA378" s="350"/>
      <c r="AB378" s="350"/>
      <c r="AC378" s="350"/>
      <c r="AD378" s="350"/>
      <c r="AE378" s="350"/>
      <c r="AF378" s="350"/>
      <c r="AG378" s="350"/>
      <c r="AH378" s="350"/>
      <c r="AI378" s="350"/>
      <c r="AJ378" s="350"/>
      <c r="AK378" s="350"/>
      <c r="AL378" s="350"/>
      <c r="AM378" s="350"/>
      <c r="AN378" s="350"/>
      <c r="AO378" s="350"/>
      <c r="AP378" s="350"/>
      <c r="AQ378" s="350"/>
      <c r="AR378" s="350"/>
      <c r="AS378" s="350"/>
      <c r="AT378" s="350"/>
      <c r="AU378" s="350"/>
      <c r="AV378" s="350"/>
      <c r="AW378" s="350"/>
      <c r="AX378" s="350"/>
      <c r="AY378" s="356"/>
      <c r="AZ378" s="352"/>
      <c r="BA378" s="350"/>
      <c r="BB378" s="350"/>
      <c r="BC378" s="195"/>
      <c r="BD378" s="195"/>
      <c r="BE378" s="195"/>
      <c r="BF378" s="195"/>
      <c r="BG378" s="195"/>
      <c r="BH378" s="350"/>
    </row>
    <row r="379" spans="1:62" s="179" customFormat="1" ht="24.65" customHeight="1">
      <c r="A379" s="145"/>
      <c r="B379" s="163" t="s">
        <v>1760</v>
      </c>
      <c r="C379" s="164"/>
      <c r="D379" s="368"/>
      <c r="E379" s="368"/>
      <c r="F379" s="368"/>
      <c r="G379" s="410"/>
      <c r="H379" s="411"/>
      <c r="I379" s="411"/>
      <c r="J379" s="411"/>
      <c r="K379" s="411"/>
      <c r="L379" s="411"/>
      <c r="M379" s="368"/>
      <c r="N379" s="368"/>
      <c r="O379" s="368"/>
      <c r="P379" s="368"/>
      <c r="Q379" s="368"/>
      <c r="R379" s="368"/>
      <c r="S379" s="368"/>
      <c r="T379" s="368"/>
      <c r="U379" s="368"/>
      <c r="V379" s="368"/>
      <c r="W379" s="368"/>
      <c r="X379" s="368"/>
      <c r="Y379" s="368"/>
      <c r="Z379" s="368"/>
      <c r="AA379" s="368"/>
      <c r="AB379" s="368"/>
      <c r="AC379" s="368"/>
      <c r="AD379" s="368"/>
      <c r="AE379" s="368"/>
      <c r="AF379" s="368"/>
      <c r="AG379" s="368"/>
      <c r="AH379" s="368"/>
      <c r="AI379" s="368"/>
      <c r="AJ379" s="368"/>
      <c r="AK379" s="368"/>
      <c r="AL379" s="368"/>
      <c r="AM379" s="368"/>
      <c r="AN379" s="368"/>
      <c r="AO379" s="368"/>
      <c r="AP379" s="368"/>
      <c r="AQ379" s="368"/>
      <c r="AR379" s="368"/>
      <c r="AS379" s="368"/>
      <c r="AT379" s="368"/>
      <c r="AU379" s="368"/>
      <c r="AV379" s="368"/>
      <c r="AW379" s="368"/>
      <c r="AX379" s="368"/>
      <c r="AY379" s="257"/>
      <c r="AZ379" s="178"/>
      <c r="BA379" s="368"/>
      <c r="BB379" s="368"/>
      <c r="BC379" s="165"/>
      <c r="BD379" s="165"/>
      <c r="BE379" s="165"/>
      <c r="BF379" s="165"/>
      <c r="BG379" s="165"/>
      <c r="BH379" s="368"/>
      <c r="BI379" s="412"/>
      <c r="BJ379" s="412"/>
    </row>
    <row r="380" spans="1:62" ht="47.25" customHeight="1">
      <c r="A380" s="348">
        <f>SUBTOTAL(3,C$11:$C380)</f>
        <v>269</v>
      </c>
      <c r="B380" s="337" t="s">
        <v>827</v>
      </c>
      <c r="C380" s="338" t="s">
        <v>55</v>
      </c>
      <c r="D380" s="347">
        <v>10</v>
      </c>
      <c r="E380" s="347"/>
      <c r="F380" s="347">
        <v>10</v>
      </c>
      <c r="G380" s="414">
        <f t="shared" ref="G380:G387" si="51">SUM(M380:AR380)</f>
        <v>9.9999999999999982</v>
      </c>
      <c r="H380" s="413" t="s">
        <v>1628</v>
      </c>
      <c r="I380" s="413" t="s">
        <v>1629</v>
      </c>
      <c r="J380" s="413" t="s">
        <v>1630</v>
      </c>
      <c r="K380" s="413" t="str">
        <f t="shared" ref="K380:K391" si="52">IF(M380&lt;&gt;0,$M$5&amp;", ","")&amp;IF(N380&lt;&gt;0,$N$5&amp;", ","")&amp;IF(O380&lt;&gt;0,O$5&amp;", ","")&amp;IF(P380&lt;&gt;0,P$5&amp;", ","")&amp;IF(Q380&lt;&gt;0,Q$5&amp;", ","")&amp;IF(R380&lt;&gt;0,R$5&amp;", ","")&amp;IF(S380&lt;&gt;0,S$5&amp;", ","")&amp;IF(T380&lt;&gt;0,T$5&amp;", ","")&amp;IF(U380&lt;&gt;0,U$5&amp;", ","")&amp;IF(V380&lt;&gt;0,V$5&amp;", ","")&amp;IF(W380&lt;&gt;0,W$5&amp;", ","")&amp;IF(X380&lt;&gt;0,X$5&amp;", ","")&amp;IF(Y380&lt;&gt;0,Y$5&amp;", ","")&amp;IF(Z380&lt;&gt;0,Z$5&amp;", ","")&amp;IF(AA380&lt;&gt;0,AA$5&amp;", ","")&amp;IF(AB380&lt;&gt;0,AB$5&amp;", ","")&amp;IF(AC380&lt;&gt;0,AC$5&amp;", ","")&amp;IF(AD380&lt;&gt;0,AD$5&amp;", ","")&amp;IF(AE380&lt;&gt;0,AE$5&amp;", ","")&amp;IF(AF380&lt;&gt;0,AF$5&amp;", ","")&amp;IF(AG380&lt;&gt;0,AG$5&amp;", ","")&amp;IF(AH380&lt;&gt;0,AH$5&amp;", ","")&amp;IF(AI380&lt;&gt;0,AI$5&amp;", ","")&amp;IF(AJ380&lt;&gt;0,AJ$5&amp;", ","")&amp;IF(AK380&lt;&gt;0,AK$5&amp;", ","")&amp;IF(AL380&lt;&gt;0,AL$5&amp;", ","")&amp;IF(AM380&lt;&gt;0,AM$5&amp;", ","")&amp;IF(AN380&lt;&gt;0,AN$5&amp;", ","")&amp;IF(AO380&lt;&gt;0,AO$5&amp;", ","")&amp;IF(AP380&lt;&gt;0,AP$5&amp;", ","")&amp;IF(AQ380&lt;&gt;0,AQ$5&amp;", ","")&amp;IF(AR380&lt;&gt;0,AR$5,"")&amp;IF(AS380&lt;&gt;0,AS$5,"")&amp;IF(AT380&lt;&gt;0,AT$5,"")&amp;IF(AU380&lt;&gt;0,AU$5,"")</f>
        <v xml:space="preserve">LUC, HNK, DGT, NTD, ODT, </v>
      </c>
      <c r="L380" s="413" t="str">
        <f t="shared" ref="L380:L391" si="53">IF(M380="","",$M$5&amp;":"&amp;M380&amp;";")&amp;IF(N380="","",$N$5&amp;":"&amp;N380&amp;";")&amp;IF(O380="","",$O$5&amp;":"&amp;O380&amp;";")&amp;IF(P380="","",$P$5&amp;":"&amp;P380&amp;";")&amp;IF(Q380="","",$Q$5&amp;":"&amp;Q380&amp;";")&amp;IF(R380="","",$R$5&amp;":"&amp;R380&amp;";")&amp;IF(S380="","",$S$5&amp;":"&amp;S380&amp;";")&amp;IF(T380="","",$T$5&amp;":"&amp;T380&amp;";")&amp;IF(U380="","",$U$5&amp;":"&amp;U380&amp;";")&amp;IF(V380="","",$V$5&amp;":"&amp;V380&amp;";")&amp;IF(W380="","",$W$5&amp;":"&amp;W380&amp;";")&amp;IF(X380="","",$X$5&amp;":"&amp;X380&amp;";")&amp;IF(Y380="","",$Y$5&amp;":"&amp;Y380&amp;";")&amp;IF(Z380="","",$Z$5&amp;":"&amp;Z380&amp;";")&amp;IF(AA380="","",$AA$5&amp;":"&amp;AA380&amp;";")&amp;IF(AB380="","",$AB$5&amp;":"&amp;AB380&amp;";")&amp;IF(AC380="","",$AC$5&amp;":"&amp;AC380&amp;";")&amp;IF(AD380="","",$AD$5&amp;":"&amp;AD380&amp;";")&amp;IF(AE380="","",$AE$5&amp;":"&amp;AE380&amp;";")&amp;IF(AF380="","",$AF$5&amp;":"&amp;AF380&amp;";")&amp;IF(AG380="","",$AG$5&amp;":"&amp;AG380&amp;";")&amp;IF(AH380="","",$AH$5&amp;":"&amp;AH380&amp;";")&amp;IF(AI380="","",$AI$5&amp;":"&amp;AI380&amp;";")&amp;IF(AJ380="","",$AJ$5&amp;":"&amp;AJ380&amp;";")&amp;IF(AK380="","",$AK$5&amp;":"&amp;AK380&amp;";")&amp;IF(AL380="","",$AL$5&amp;":"&amp;AL380&amp;";")&amp;IF(AM380="","",$AM$5&amp;":"&amp;AM380&amp;";")&amp;IF(AN380="","",$AN$5&amp;":"&amp;AN380&amp;";")&amp;IF(AO380="","",$AO$5&amp;":"&amp;AO380&amp;";")&amp;IF(AP380="","",$AP$5&amp;":"&amp;AP380&amp;";")&amp;IF(AQ380="","",$AQ$5&amp;":"&amp;AQ380&amp;";")&amp;IF(AR380="","",$AR$5&amp;":"&amp;AR380&amp;";")&amp;IF(AS380="","",$AS$5&amp;":"&amp;AS380&amp;";")&amp;IF(AT380="","",$AT$5&amp;":"&amp;AT380&amp;";")&amp;IF(AU380="","",$AU$5&amp;":"&amp;AU380&amp;";")</f>
        <v>LUC:8,25;HNK:0,25;DGT:0,26;NTD:0,04;ODT:1,2;</v>
      </c>
      <c r="M380" s="347">
        <v>8.25</v>
      </c>
      <c r="N380" s="347"/>
      <c r="O380" s="347">
        <v>0.25</v>
      </c>
      <c r="P380" s="347"/>
      <c r="Q380" s="347"/>
      <c r="R380" s="347"/>
      <c r="S380" s="347"/>
      <c r="T380" s="347"/>
      <c r="U380" s="347"/>
      <c r="V380" s="347"/>
      <c r="W380" s="347">
        <v>0.26</v>
      </c>
      <c r="X380" s="347"/>
      <c r="Y380" s="347"/>
      <c r="Z380" s="347"/>
      <c r="AA380" s="347"/>
      <c r="AB380" s="347"/>
      <c r="AC380" s="347"/>
      <c r="AD380" s="347"/>
      <c r="AE380" s="347"/>
      <c r="AF380" s="347"/>
      <c r="AG380" s="347"/>
      <c r="AH380" s="347">
        <v>0.04</v>
      </c>
      <c r="AI380" s="347"/>
      <c r="AJ380" s="347"/>
      <c r="AK380" s="347"/>
      <c r="AL380" s="347"/>
      <c r="AM380" s="347">
        <v>1.2</v>
      </c>
      <c r="AN380" s="347"/>
      <c r="AO380" s="347"/>
      <c r="AP380" s="347"/>
      <c r="AQ380" s="347"/>
      <c r="AR380" s="347"/>
      <c r="AS380" s="347"/>
      <c r="AT380" s="347"/>
      <c r="AU380" s="347"/>
      <c r="AV380" s="338" t="s">
        <v>217</v>
      </c>
      <c r="AW380" s="338" t="s">
        <v>217</v>
      </c>
      <c r="AX380" s="350" t="s">
        <v>314</v>
      </c>
      <c r="AY380" s="356" t="s">
        <v>314</v>
      </c>
      <c r="AZ380" s="352" t="s">
        <v>1631</v>
      </c>
      <c r="BA380" s="350"/>
      <c r="BB380" s="350"/>
      <c r="BC380" s="195" t="s">
        <v>270</v>
      </c>
      <c r="BD380" s="195"/>
      <c r="BE380" s="195"/>
      <c r="BF380" s="195" t="s">
        <v>263</v>
      </c>
      <c r="BG380" s="195"/>
      <c r="BH380" s="350"/>
    </row>
    <row r="381" spans="1:62" ht="45" customHeight="1">
      <c r="A381" s="348">
        <f>SUBTOTAL(3,C$11:$C381)</f>
        <v>270</v>
      </c>
      <c r="B381" s="362" t="s">
        <v>829</v>
      </c>
      <c r="C381" s="338" t="s">
        <v>55</v>
      </c>
      <c r="D381" s="351">
        <v>14</v>
      </c>
      <c r="E381" s="351">
        <v>12.05</v>
      </c>
      <c r="F381" s="351">
        <f>D381-E381</f>
        <v>1.9499999999999993</v>
      </c>
      <c r="G381" s="414">
        <f t="shared" si="51"/>
        <v>1.96</v>
      </c>
      <c r="H381" s="413" t="s">
        <v>5</v>
      </c>
      <c r="I381" s="413" t="s">
        <v>7</v>
      </c>
      <c r="J381" s="413"/>
      <c r="K381" s="413" t="str">
        <f t="shared" si="52"/>
        <v xml:space="preserve">LUC, </v>
      </c>
      <c r="L381" s="413" t="str">
        <f t="shared" si="53"/>
        <v>LUC:1,96;</v>
      </c>
      <c r="M381" s="351">
        <v>1.96</v>
      </c>
      <c r="N381" s="351"/>
      <c r="O381" s="351"/>
      <c r="P381" s="351"/>
      <c r="Q381" s="351"/>
      <c r="R381" s="351"/>
      <c r="S381" s="351"/>
      <c r="T381" s="351"/>
      <c r="U381" s="351"/>
      <c r="V381" s="351"/>
      <c r="W381" s="351"/>
      <c r="X381" s="351"/>
      <c r="Y381" s="351"/>
      <c r="Z381" s="351"/>
      <c r="AA381" s="351"/>
      <c r="AB381" s="351"/>
      <c r="AC381" s="351"/>
      <c r="AD381" s="351"/>
      <c r="AE381" s="351"/>
      <c r="AF381" s="351"/>
      <c r="AG381" s="351"/>
      <c r="AH381" s="351"/>
      <c r="AI381" s="351"/>
      <c r="AJ381" s="351"/>
      <c r="AK381" s="351"/>
      <c r="AL381" s="351"/>
      <c r="AM381" s="351"/>
      <c r="AN381" s="351"/>
      <c r="AO381" s="351"/>
      <c r="AP381" s="351"/>
      <c r="AQ381" s="351"/>
      <c r="AR381" s="351"/>
      <c r="AS381" s="351"/>
      <c r="AT381" s="351"/>
      <c r="AU381" s="351"/>
      <c r="AV381" s="351" t="s">
        <v>313</v>
      </c>
      <c r="AW381" s="351" t="s">
        <v>313</v>
      </c>
      <c r="AX381" s="350" t="s">
        <v>314</v>
      </c>
      <c r="AY381" s="356" t="s">
        <v>314</v>
      </c>
      <c r="AZ381" s="352" t="s">
        <v>1634</v>
      </c>
      <c r="BA381" s="350"/>
      <c r="BB381" s="350"/>
      <c r="BC381" s="195" t="s">
        <v>316</v>
      </c>
      <c r="BD381" s="195"/>
      <c r="BE381" s="195"/>
      <c r="BF381" s="195" t="s">
        <v>263</v>
      </c>
      <c r="BG381" s="195"/>
      <c r="BH381" s="350"/>
    </row>
    <row r="382" spans="1:62" ht="45" customHeight="1">
      <c r="A382" s="348">
        <f>SUBTOTAL(3,C$11:$C382)</f>
        <v>271</v>
      </c>
      <c r="B382" s="362" t="s">
        <v>830</v>
      </c>
      <c r="C382" s="338" t="s">
        <v>55</v>
      </c>
      <c r="D382" s="351">
        <v>16.170000000000002</v>
      </c>
      <c r="E382" s="351"/>
      <c r="F382" s="351">
        <v>16.170000000000002</v>
      </c>
      <c r="G382" s="414">
        <f t="shared" si="51"/>
        <v>16.170000000000002</v>
      </c>
      <c r="H382" s="413" t="s">
        <v>1635</v>
      </c>
      <c r="I382" s="413" t="s">
        <v>968</v>
      </c>
      <c r="J382" s="413" t="s">
        <v>1636</v>
      </c>
      <c r="K382" s="413" t="str">
        <f t="shared" si="52"/>
        <v xml:space="preserve">LUC, HNK, CLN, </v>
      </c>
      <c r="L382" s="413" t="str">
        <f t="shared" si="53"/>
        <v>LUC:4,0768;HNK:4,41;CLN:7,6832;</v>
      </c>
      <c r="M382" s="351">
        <f>4.16*98%</f>
        <v>4.0768000000000004</v>
      </c>
      <c r="N382" s="351"/>
      <c r="O382" s="351">
        <f>4.5*98%</f>
        <v>4.41</v>
      </c>
      <c r="P382" s="351">
        <f>7.84*98%</f>
        <v>7.6831999999999994</v>
      </c>
      <c r="Q382" s="351"/>
      <c r="R382" s="351"/>
      <c r="S382" s="351"/>
      <c r="T382" s="351"/>
      <c r="U382" s="351"/>
      <c r="V382" s="351"/>
      <c r="W382" s="351"/>
      <c r="X382" s="351"/>
      <c r="Y382" s="351"/>
      <c r="Z382" s="351"/>
      <c r="AA382" s="351"/>
      <c r="AB382" s="351"/>
      <c r="AC382" s="351"/>
      <c r="AD382" s="351"/>
      <c r="AE382" s="351"/>
      <c r="AF382" s="351"/>
      <c r="AG382" s="351"/>
      <c r="AH382" s="351"/>
      <c r="AI382" s="351"/>
      <c r="AJ382" s="351"/>
      <c r="AK382" s="351"/>
      <c r="AL382" s="351"/>
      <c r="AM382" s="351"/>
      <c r="AN382" s="351"/>
      <c r="AO382" s="351"/>
      <c r="AP382" s="351"/>
      <c r="AQ382" s="351"/>
      <c r="AR382" s="351"/>
      <c r="AS382" s="351"/>
      <c r="AT382" s="351"/>
      <c r="AU382" s="351"/>
      <c r="AV382" s="351" t="s">
        <v>313</v>
      </c>
      <c r="AW382" s="351" t="s">
        <v>313</v>
      </c>
      <c r="AX382" s="350" t="s">
        <v>831</v>
      </c>
      <c r="AY382" s="356" t="s">
        <v>831</v>
      </c>
      <c r="AZ382" s="352" t="s">
        <v>1637</v>
      </c>
      <c r="BA382" s="350"/>
      <c r="BB382" s="350"/>
      <c r="BC382" s="195" t="s">
        <v>316</v>
      </c>
      <c r="BD382" s="195"/>
      <c r="BE382" s="195"/>
      <c r="BF382" s="195" t="s">
        <v>263</v>
      </c>
      <c r="BG382" s="195"/>
      <c r="BH382" s="350"/>
    </row>
    <row r="383" spans="1:62" ht="45" customHeight="1">
      <c r="A383" s="348">
        <f>SUBTOTAL(3,C$11:$C383)</f>
        <v>272</v>
      </c>
      <c r="B383" s="362" t="s">
        <v>742</v>
      </c>
      <c r="C383" s="338" t="s">
        <v>55</v>
      </c>
      <c r="D383" s="351">
        <v>7</v>
      </c>
      <c r="E383" s="351"/>
      <c r="F383" s="351">
        <v>7</v>
      </c>
      <c r="G383" s="414">
        <f t="shared" si="51"/>
        <v>7</v>
      </c>
      <c r="H383" s="413" t="s">
        <v>1638</v>
      </c>
      <c r="I383" s="413" t="s">
        <v>1639</v>
      </c>
      <c r="J383" s="413" t="s">
        <v>1640</v>
      </c>
      <c r="K383" s="413" t="str">
        <f t="shared" si="52"/>
        <v xml:space="preserve">LUC, HNK, ODT, SON, </v>
      </c>
      <c r="L383" s="413" t="str">
        <f t="shared" si="53"/>
        <v>LUC:3,82;HNK:1,61;ODT:1,21;SON:0,36;</v>
      </c>
      <c r="M383" s="351">
        <v>3.82</v>
      </c>
      <c r="N383" s="351"/>
      <c r="O383" s="351">
        <v>1.61</v>
      </c>
      <c r="P383" s="351"/>
      <c r="Q383" s="351"/>
      <c r="R383" s="351"/>
      <c r="S383" s="351"/>
      <c r="T383" s="351"/>
      <c r="U383" s="351"/>
      <c r="V383" s="351"/>
      <c r="W383" s="351"/>
      <c r="X383" s="351"/>
      <c r="Y383" s="351"/>
      <c r="Z383" s="351"/>
      <c r="AA383" s="351"/>
      <c r="AB383" s="351"/>
      <c r="AC383" s="351"/>
      <c r="AD383" s="351"/>
      <c r="AE383" s="351"/>
      <c r="AF383" s="351"/>
      <c r="AG383" s="351"/>
      <c r="AH383" s="351"/>
      <c r="AI383" s="351"/>
      <c r="AJ383" s="351"/>
      <c r="AK383" s="351"/>
      <c r="AL383" s="351"/>
      <c r="AM383" s="351">
        <v>1.21</v>
      </c>
      <c r="AN383" s="351"/>
      <c r="AO383" s="351"/>
      <c r="AP383" s="351"/>
      <c r="AQ383" s="351">
        <v>0.36</v>
      </c>
      <c r="AR383" s="351"/>
      <c r="AS383" s="351"/>
      <c r="AT383" s="351"/>
      <c r="AU383" s="351"/>
      <c r="AV383" s="351" t="s">
        <v>656</v>
      </c>
      <c r="AW383" s="351" t="s">
        <v>656</v>
      </c>
      <c r="AX383" s="350" t="s">
        <v>832</v>
      </c>
      <c r="AY383" s="356" t="s">
        <v>832</v>
      </c>
      <c r="AZ383" s="352" t="s">
        <v>1641</v>
      </c>
      <c r="BA383" s="209" t="s">
        <v>825</v>
      </c>
      <c r="BB383" s="350"/>
      <c r="BC383" s="195" t="s">
        <v>316</v>
      </c>
      <c r="BD383" s="195"/>
      <c r="BE383" s="195"/>
      <c r="BF383" s="195" t="s">
        <v>263</v>
      </c>
      <c r="BG383" s="195"/>
      <c r="BH383" s="350"/>
    </row>
    <row r="384" spans="1:62" ht="45" customHeight="1">
      <c r="A384" s="348">
        <f>SUBTOTAL(3,C$11:$C384)</f>
        <v>273</v>
      </c>
      <c r="B384" s="146" t="s">
        <v>833</v>
      </c>
      <c r="C384" s="338" t="s">
        <v>55</v>
      </c>
      <c r="D384" s="351">
        <v>95.94</v>
      </c>
      <c r="E384" s="351"/>
      <c r="F384" s="351">
        <v>95.94</v>
      </c>
      <c r="G384" s="414">
        <f t="shared" si="51"/>
        <v>95.94</v>
      </c>
      <c r="H384" s="413" t="s">
        <v>1642</v>
      </c>
      <c r="I384" s="413" t="s">
        <v>1095</v>
      </c>
      <c r="J384" s="413" t="s">
        <v>1643</v>
      </c>
      <c r="K384" s="413" t="str">
        <f t="shared" si="52"/>
        <v xml:space="preserve">LUC, HNK, </v>
      </c>
      <c r="L384" s="413" t="str">
        <f t="shared" si="53"/>
        <v>LUC:93,94;HNK:2;</v>
      </c>
      <c r="M384" s="351">
        <v>93.94</v>
      </c>
      <c r="N384" s="351"/>
      <c r="O384" s="351">
        <v>2</v>
      </c>
      <c r="P384" s="351"/>
      <c r="Q384" s="351"/>
      <c r="R384" s="351"/>
      <c r="S384" s="351"/>
      <c r="T384" s="351"/>
      <c r="U384" s="351"/>
      <c r="V384" s="351"/>
      <c r="W384" s="351"/>
      <c r="X384" s="351"/>
      <c r="Y384" s="351"/>
      <c r="Z384" s="351"/>
      <c r="AA384" s="351"/>
      <c r="AB384" s="351"/>
      <c r="AC384" s="351"/>
      <c r="AD384" s="351"/>
      <c r="AE384" s="351"/>
      <c r="AF384" s="351"/>
      <c r="AG384" s="351"/>
      <c r="AH384" s="351"/>
      <c r="AI384" s="351"/>
      <c r="AJ384" s="351"/>
      <c r="AK384" s="351"/>
      <c r="AL384" s="351"/>
      <c r="AM384" s="351"/>
      <c r="AN384" s="351"/>
      <c r="AO384" s="351"/>
      <c r="AP384" s="351"/>
      <c r="AQ384" s="351"/>
      <c r="AR384" s="351"/>
      <c r="AS384" s="351"/>
      <c r="AT384" s="351"/>
      <c r="AU384" s="351"/>
      <c r="AV384" s="351" t="s">
        <v>1754</v>
      </c>
      <c r="AW384" s="351" t="s">
        <v>418</v>
      </c>
      <c r="AX384" s="350" t="s">
        <v>834</v>
      </c>
      <c r="AY384" s="356" t="s">
        <v>834</v>
      </c>
      <c r="AZ384" s="352" t="s">
        <v>1644</v>
      </c>
      <c r="BA384" s="350"/>
      <c r="BB384" s="350"/>
      <c r="BC384" s="195" t="s">
        <v>267</v>
      </c>
      <c r="BD384" s="195"/>
      <c r="BE384" s="195"/>
      <c r="BF384" s="195" t="s">
        <v>263</v>
      </c>
      <c r="BG384" s="195"/>
      <c r="BH384" s="350"/>
    </row>
    <row r="385" spans="1:62" ht="45" customHeight="1">
      <c r="A385" s="348">
        <f>SUBTOTAL(3,C$11:$C385)</f>
        <v>274</v>
      </c>
      <c r="B385" s="345" t="s">
        <v>835</v>
      </c>
      <c r="C385" s="338" t="s">
        <v>55</v>
      </c>
      <c r="D385" s="357">
        <v>9.2200000000000006</v>
      </c>
      <c r="E385" s="351"/>
      <c r="F385" s="351">
        <v>9.2200000000000006</v>
      </c>
      <c r="G385" s="414">
        <f t="shared" si="51"/>
        <v>9.2200000000000006</v>
      </c>
      <c r="H385" s="413" t="s">
        <v>1645</v>
      </c>
      <c r="I385" s="413" t="s">
        <v>1646</v>
      </c>
      <c r="J385" s="413"/>
      <c r="K385" s="413" t="str">
        <f t="shared" si="52"/>
        <v xml:space="preserve">LUC, LUK, HNK, CLN, SKC, DGT, ODT, </v>
      </c>
      <c r="L385" s="413" t="str">
        <f t="shared" si="53"/>
        <v>LUC:4,38;LUK:0,24;HNK:2,93;CLN:0,22;SKC:0,01;DGT:0,09;ODT:1,35;</v>
      </c>
      <c r="M385" s="351">
        <v>4.38</v>
      </c>
      <c r="N385" s="351">
        <v>0.24</v>
      </c>
      <c r="O385" s="351">
        <v>2.93</v>
      </c>
      <c r="P385" s="351">
        <v>0.22</v>
      </c>
      <c r="Q385" s="351"/>
      <c r="R385" s="351"/>
      <c r="S385" s="351"/>
      <c r="T385" s="351"/>
      <c r="U385" s="351"/>
      <c r="V385" s="351">
        <v>0.01</v>
      </c>
      <c r="W385" s="351">
        <v>0.09</v>
      </c>
      <c r="X385" s="351"/>
      <c r="Y385" s="351"/>
      <c r="Z385" s="351"/>
      <c r="AA385" s="351"/>
      <c r="AB385" s="351"/>
      <c r="AC385" s="351"/>
      <c r="AD385" s="351"/>
      <c r="AE385" s="351"/>
      <c r="AF385" s="351"/>
      <c r="AG385" s="351"/>
      <c r="AH385" s="351"/>
      <c r="AI385" s="351"/>
      <c r="AJ385" s="351"/>
      <c r="AK385" s="351"/>
      <c r="AL385" s="351"/>
      <c r="AM385" s="351">
        <v>1.35</v>
      </c>
      <c r="AN385" s="351"/>
      <c r="AO385" s="351"/>
      <c r="AP385" s="351"/>
      <c r="AQ385" s="351"/>
      <c r="AR385" s="351"/>
      <c r="AS385" s="351"/>
      <c r="AT385" s="351"/>
      <c r="AU385" s="351"/>
      <c r="AV385" s="351" t="s">
        <v>217</v>
      </c>
      <c r="AW385" s="351" t="s">
        <v>303</v>
      </c>
      <c r="AX385" s="350" t="s">
        <v>836</v>
      </c>
      <c r="AY385" s="356" t="s">
        <v>836</v>
      </c>
      <c r="AZ385" s="352" t="s">
        <v>1647</v>
      </c>
      <c r="BA385" s="350"/>
      <c r="BB385" s="350"/>
      <c r="BC385" s="195" t="s">
        <v>267</v>
      </c>
      <c r="BD385" s="195"/>
      <c r="BE385" s="195"/>
      <c r="BF385" s="195"/>
      <c r="BG385" s="195" t="s">
        <v>263</v>
      </c>
      <c r="BH385" s="350"/>
    </row>
    <row r="386" spans="1:62" ht="45" customHeight="1">
      <c r="A386" s="348">
        <f>SUBTOTAL(3,C$11:$C386)</f>
        <v>275</v>
      </c>
      <c r="B386" s="362" t="s">
        <v>742</v>
      </c>
      <c r="C386" s="338" t="s">
        <v>55</v>
      </c>
      <c r="D386" s="351">
        <v>7.5</v>
      </c>
      <c r="E386" s="351"/>
      <c r="F386" s="351">
        <v>7.5</v>
      </c>
      <c r="G386" s="414">
        <f t="shared" si="51"/>
        <v>7.5</v>
      </c>
      <c r="H386" s="413" t="s">
        <v>1648</v>
      </c>
      <c r="I386" s="413" t="s">
        <v>1649</v>
      </c>
      <c r="J386" s="413" t="s">
        <v>1648</v>
      </c>
      <c r="K386" s="413" t="str">
        <f t="shared" si="52"/>
        <v xml:space="preserve">LUC, HNK, ODT, </v>
      </c>
      <c r="L386" s="413" t="str">
        <f t="shared" si="53"/>
        <v>LUC:4,3;HNK:1,7;ODT:1,5;</v>
      </c>
      <c r="M386" s="351">
        <v>4.3</v>
      </c>
      <c r="N386" s="351"/>
      <c r="O386" s="351">
        <v>1.7</v>
      </c>
      <c r="P386" s="351"/>
      <c r="Q386" s="351"/>
      <c r="R386" s="351"/>
      <c r="S386" s="351"/>
      <c r="T386" s="351"/>
      <c r="U386" s="351"/>
      <c r="V386" s="351"/>
      <c r="W386" s="351"/>
      <c r="X386" s="351"/>
      <c r="Y386" s="351"/>
      <c r="Z386" s="351"/>
      <c r="AA386" s="351"/>
      <c r="AB386" s="351"/>
      <c r="AC386" s="351"/>
      <c r="AD386" s="351"/>
      <c r="AE386" s="351"/>
      <c r="AF386" s="351"/>
      <c r="AG386" s="351"/>
      <c r="AH386" s="351"/>
      <c r="AI386" s="351"/>
      <c r="AJ386" s="351"/>
      <c r="AK386" s="351"/>
      <c r="AL386" s="351"/>
      <c r="AM386" s="351">
        <v>1.5</v>
      </c>
      <c r="AN386" s="351"/>
      <c r="AO386" s="351"/>
      <c r="AP386" s="351"/>
      <c r="AQ386" s="351"/>
      <c r="AR386" s="351"/>
      <c r="AS386" s="351"/>
      <c r="AT386" s="351"/>
      <c r="AU386" s="351"/>
      <c r="AV386" s="351" t="s">
        <v>656</v>
      </c>
      <c r="AW386" s="351" t="s">
        <v>656</v>
      </c>
      <c r="AX386" s="350" t="s">
        <v>832</v>
      </c>
      <c r="AY386" s="356" t="s">
        <v>832</v>
      </c>
      <c r="AZ386" s="352" t="s">
        <v>1650</v>
      </c>
      <c r="BA386" s="209" t="s">
        <v>825</v>
      </c>
      <c r="BB386" s="350"/>
      <c r="BC386" s="195" t="s">
        <v>316</v>
      </c>
      <c r="BD386" s="195"/>
      <c r="BE386" s="195"/>
      <c r="BF386" s="195" t="s">
        <v>263</v>
      </c>
      <c r="BG386" s="195"/>
      <c r="BH386" s="350"/>
    </row>
    <row r="387" spans="1:62" ht="45" customHeight="1">
      <c r="A387" s="348">
        <f>SUBTOTAL(3,C$11:$C387)</f>
        <v>276</v>
      </c>
      <c r="B387" s="362" t="s">
        <v>720</v>
      </c>
      <c r="C387" s="338" t="s">
        <v>55</v>
      </c>
      <c r="D387" s="351">
        <v>7.4</v>
      </c>
      <c r="E387" s="351"/>
      <c r="F387" s="351">
        <v>7.4</v>
      </c>
      <c r="G387" s="414">
        <f t="shared" si="51"/>
        <v>7.4</v>
      </c>
      <c r="H387" s="413" t="s">
        <v>1648</v>
      </c>
      <c r="I387" s="413" t="s">
        <v>1649</v>
      </c>
      <c r="J387" s="413" t="s">
        <v>1648</v>
      </c>
      <c r="K387" s="413" t="str">
        <f t="shared" si="52"/>
        <v xml:space="preserve">LUC, HNK, ODT, </v>
      </c>
      <c r="L387" s="413" t="str">
        <f t="shared" si="53"/>
        <v>LUC:3,7;HNK:3;ODT:0,7;</v>
      </c>
      <c r="M387" s="351">
        <v>3.7</v>
      </c>
      <c r="N387" s="351"/>
      <c r="O387" s="351">
        <v>3</v>
      </c>
      <c r="P387" s="351"/>
      <c r="Q387" s="351"/>
      <c r="R387" s="351"/>
      <c r="S387" s="351"/>
      <c r="T387" s="351"/>
      <c r="U387" s="351"/>
      <c r="V387" s="351"/>
      <c r="W387" s="351"/>
      <c r="X387" s="351"/>
      <c r="Y387" s="351"/>
      <c r="Z387" s="351"/>
      <c r="AA387" s="351"/>
      <c r="AB387" s="351"/>
      <c r="AC387" s="351"/>
      <c r="AD387" s="351"/>
      <c r="AE387" s="351"/>
      <c r="AF387" s="351"/>
      <c r="AG387" s="351"/>
      <c r="AH387" s="351"/>
      <c r="AI387" s="351"/>
      <c r="AJ387" s="351"/>
      <c r="AK387" s="351"/>
      <c r="AL387" s="351"/>
      <c r="AM387" s="351">
        <v>0.7</v>
      </c>
      <c r="AN387" s="351"/>
      <c r="AO387" s="351"/>
      <c r="AP387" s="351"/>
      <c r="AQ387" s="351"/>
      <c r="AR387" s="351"/>
      <c r="AS387" s="351"/>
      <c r="AT387" s="351"/>
      <c r="AU387" s="351"/>
      <c r="AV387" s="351" t="s">
        <v>656</v>
      </c>
      <c r="AW387" s="351" t="s">
        <v>656</v>
      </c>
      <c r="AX387" s="350" t="s">
        <v>837</v>
      </c>
      <c r="AY387" s="356" t="s">
        <v>837</v>
      </c>
      <c r="AZ387" s="352" t="s">
        <v>1651</v>
      </c>
      <c r="BA387" s="350"/>
      <c r="BB387" s="350"/>
      <c r="BC387" s="195" t="s">
        <v>316</v>
      </c>
      <c r="BD387" s="195"/>
      <c r="BE387" s="195"/>
      <c r="BF387" s="195" t="s">
        <v>263</v>
      </c>
      <c r="BG387" s="195"/>
      <c r="BH387" s="350"/>
    </row>
    <row r="388" spans="1:62" ht="35.15" customHeight="1">
      <c r="A388" s="348">
        <f>SUBTOTAL(3,C$11:$C388)</f>
        <v>277</v>
      </c>
      <c r="B388" s="337" t="s">
        <v>828</v>
      </c>
      <c r="C388" s="338" t="s">
        <v>55</v>
      </c>
      <c r="D388" s="361">
        <v>0.12</v>
      </c>
      <c r="E388" s="366"/>
      <c r="F388" s="361">
        <v>0.12</v>
      </c>
      <c r="G388" s="414">
        <f>SUM(M388:AR388)</f>
        <v>0.12000000000000001</v>
      </c>
      <c r="H388" s="413" t="s">
        <v>1632</v>
      </c>
      <c r="I388" s="413" t="s">
        <v>1632</v>
      </c>
      <c r="J388" s="413"/>
      <c r="K388" s="413" t="str">
        <f t="shared" si="52"/>
        <v xml:space="preserve">HNK, ODT, </v>
      </c>
      <c r="L388" s="413" t="str">
        <f t="shared" si="53"/>
        <v>HNK:0,07;ODT:0,05;</v>
      </c>
      <c r="M388" s="361"/>
      <c r="N388" s="361"/>
      <c r="O388" s="361">
        <v>7.0000000000000007E-2</v>
      </c>
      <c r="P388" s="361"/>
      <c r="Q388" s="361"/>
      <c r="R388" s="361"/>
      <c r="S388" s="361"/>
      <c r="T388" s="361"/>
      <c r="U388" s="361"/>
      <c r="V388" s="361"/>
      <c r="W388" s="361"/>
      <c r="X388" s="361"/>
      <c r="Y388" s="361"/>
      <c r="Z388" s="361"/>
      <c r="AA388" s="361"/>
      <c r="AB388" s="361"/>
      <c r="AC388" s="361"/>
      <c r="AD388" s="361"/>
      <c r="AE388" s="361"/>
      <c r="AF388" s="361"/>
      <c r="AG388" s="361"/>
      <c r="AH388" s="361"/>
      <c r="AI388" s="361"/>
      <c r="AJ388" s="361"/>
      <c r="AK388" s="361"/>
      <c r="AL388" s="361"/>
      <c r="AM388" s="361">
        <v>0.05</v>
      </c>
      <c r="AN388" s="361"/>
      <c r="AO388" s="361"/>
      <c r="AP388" s="361"/>
      <c r="AQ388" s="361"/>
      <c r="AR388" s="361"/>
      <c r="AS388" s="361"/>
      <c r="AT388" s="361"/>
      <c r="AU388" s="361"/>
      <c r="AV388" s="338" t="s">
        <v>217</v>
      </c>
      <c r="AW388" s="338" t="s">
        <v>217</v>
      </c>
      <c r="AX388" s="350" t="s">
        <v>869</v>
      </c>
      <c r="AY388" s="356" t="s">
        <v>869</v>
      </c>
      <c r="AZ388" s="352" t="s">
        <v>1633</v>
      </c>
      <c r="BA388" s="350"/>
      <c r="BB388" s="350"/>
      <c r="BC388" s="195" t="s">
        <v>270</v>
      </c>
      <c r="BD388" s="195"/>
      <c r="BE388" s="195"/>
      <c r="BF388" s="195" t="s">
        <v>263</v>
      </c>
      <c r="BG388" s="195"/>
      <c r="BH388" s="350"/>
    </row>
    <row r="389" spans="1:62" s="179" customFormat="1" ht="24.65" customHeight="1">
      <c r="A389" s="145"/>
      <c r="B389" s="163" t="s">
        <v>1759</v>
      </c>
      <c r="C389" s="164"/>
      <c r="D389" s="549"/>
      <c r="E389" s="549"/>
      <c r="F389" s="549"/>
      <c r="G389" s="410"/>
      <c r="H389" s="411"/>
      <c r="I389" s="411"/>
      <c r="J389" s="411"/>
      <c r="K389" s="411"/>
      <c r="L389" s="411"/>
      <c r="M389" s="549"/>
      <c r="N389" s="549"/>
      <c r="O389" s="549"/>
      <c r="P389" s="549"/>
      <c r="Q389" s="549"/>
      <c r="R389" s="549"/>
      <c r="S389" s="549"/>
      <c r="T389" s="549"/>
      <c r="U389" s="549"/>
      <c r="V389" s="549"/>
      <c r="W389" s="549"/>
      <c r="X389" s="549"/>
      <c r="Y389" s="549"/>
      <c r="Z389" s="549"/>
      <c r="AA389" s="549"/>
      <c r="AB389" s="549"/>
      <c r="AC389" s="549"/>
      <c r="AD389" s="549"/>
      <c r="AE389" s="549"/>
      <c r="AF389" s="549"/>
      <c r="AG389" s="549"/>
      <c r="AH389" s="549"/>
      <c r="AI389" s="549"/>
      <c r="AJ389" s="549"/>
      <c r="AK389" s="549"/>
      <c r="AL389" s="549"/>
      <c r="AM389" s="549"/>
      <c r="AN389" s="549"/>
      <c r="AO389" s="549"/>
      <c r="AP389" s="549"/>
      <c r="AQ389" s="549"/>
      <c r="AR389" s="549"/>
      <c r="AS389" s="549"/>
      <c r="AT389" s="549"/>
      <c r="AU389" s="549"/>
      <c r="AV389" s="549"/>
      <c r="AW389" s="549"/>
      <c r="AX389" s="549"/>
      <c r="AY389" s="257"/>
      <c r="AZ389" s="178"/>
      <c r="BA389" s="549"/>
      <c r="BB389" s="549"/>
      <c r="BC389" s="165"/>
      <c r="BD389" s="165"/>
      <c r="BE389" s="165"/>
      <c r="BF389" s="165"/>
      <c r="BG389" s="165"/>
      <c r="BH389" s="549"/>
      <c r="BI389" s="412"/>
      <c r="BJ389" s="412"/>
    </row>
    <row r="390" spans="1:62" s="648" customFormat="1" ht="35.15" customHeight="1">
      <c r="A390" s="504"/>
      <c r="B390" s="649" t="s">
        <v>1961</v>
      </c>
      <c r="C390" s="504" t="s">
        <v>55</v>
      </c>
      <c r="D390" s="504">
        <v>290</v>
      </c>
      <c r="E390" s="504"/>
      <c r="F390" s="504">
        <v>290</v>
      </c>
      <c r="G390" s="504"/>
      <c r="H390" s="504"/>
      <c r="I390" s="504"/>
      <c r="J390" s="504"/>
      <c r="K390" s="504"/>
      <c r="L390" s="504"/>
      <c r="M390" s="504"/>
      <c r="N390" s="504"/>
      <c r="O390" s="504"/>
      <c r="P390" s="504"/>
      <c r="Q390" s="504"/>
      <c r="R390" s="504"/>
      <c r="S390" s="504"/>
      <c r="T390" s="504"/>
      <c r="U390" s="504"/>
      <c r="V390" s="504"/>
      <c r="W390" s="504"/>
      <c r="X390" s="504"/>
      <c r="Y390" s="504"/>
      <c r="Z390" s="504"/>
      <c r="AA390" s="504"/>
      <c r="AB390" s="504"/>
      <c r="AC390" s="504"/>
      <c r="AD390" s="504"/>
      <c r="AE390" s="504"/>
      <c r="AF390" s="504"/>
      <c r="AG390" s="504"/>
      <c r="AH390" s="504"/>
      <c r="AI390" s="504"/>
      <c r="AJ390" s="504"/>
      <c r="AK390" s="504"/>
      <c r="AL390" s="504"/>
      <c r="AM390" s="504"/>
      <c r="AN390" s="504"/>
      <c r="AO390" s="504"/>
      <c r="AP390" s="504"/>
      <c r="AQ390" s="504"/>
      <c r="AR390" s="504"/>
      <c r="AS390" s="504"/>
      <c r="AT390" s="504"/>
      <c r="AU390" s="504"/>
      <c r="AV390" s="504" t="s">
        <v>217</v>
      </c>
      <c r="AW390" s="504"/>
      <c r="AX390" s="504" t="s">
        <v>1962</v>
      </c>
      <c r="AY390" s="504"/>
      <c r="AZ390" s="504"/>
      <c r="BA390" s="504"/>
      <c r="BB390" s="504"/>
      <c r="BC390" s="645"/>
      <c r="BD390" s="645"/>
      <c r="BE390" s="645"/>
      <c r="BF390" s="645"/>
      <c r="BG390" s="645"/>
      <c r="BH390" s="646"/>
      <c r="BI390" s="647"/>
      <c r="BJ390" s="647"/>
    </row>
    <row r="391" spans="1:62" ht="33" customHeight="1">
      <c r="A391" s="151" t="s">
        <v>1732</v>
      </c>
      <c r="B391" s="159" t="s">
        <v>90</v>
      </c>
      <c r="C391" s="158"/>
      <c r="D391" s="350"/>
      <c r="E391" s="350"/>
      <c r="F391" s="350"/>
      <c r="G391" s="414"/>
      <c r="H391" s="413"/>
      <c r="I391" s="413"/>
      <c r="J391" s="413"/>
      <c r="K391" s="413" t="str">
        <f t="shared" si="52"/>
        <v/>
      </c>
      <c r="L391" s="413" t="str">
        <f t="shared" si="53"/>
        <v/>
      </c>
      <c r="M391" s="350"/>
      <c r="N391" s="350"/>
      <c r="O391" s="350"/>
      <c r="P391" s="350"/>
      <c r="Q391" s="350"/>
      <c r="R391" s="350"/>
      <c r="S391" s="350"/>
      <c r="T391" s="350"/>
      <c r="U391" s="350"/>
      <c r="V391" s="350"/>
      <c r="W391" s="350"/>
      <c r="X391" s="350"/>
      <c r="Y391" s="350"/>
      <c r="Z391" s="350"/>
      <c r="AA391" s="350"/>
      <c r="AB391" s="350"/>
      <c r="AC391" s="350"/>
      <c r="AD391" s="350"/>
      <c r="AE391" s="350"/>
      <c r="AF391" s="350"/>
      <c r="AG391" s="350"/>
      <c r="AH391" s="350"/>
      <c r="AI391" s="350"/>
      <c r="AJ391" s="350"/>
      <c r="AK391" s="350"/>
      <c r="AL391" s="350"/>
      <c r="AM391" s="350"/>
      <c r="AN391" s="350"/>
      <c r="AO391" s="350"/>
      <c r="AP391" s="350"/>
      <c r="AQ391" s="350"/>
      <c r="AR391" s="350"/>
      <c r="AS391" s="350"/>
      <c r="AT391" s="350"/>
      <c r="AU391" s="350"/>
      <c r="AV391" s="350"/>
      <c r="AW391" s="350"/>
      <c r="AX391" s="350"/>
      <c r="AY391" s="356"/>
      <c r="AZ391" s="352"/>
      <c r="BA391" s="350"/>
      <c r="BB391" s="350"/>
      <c r="BC391" s="195"/>
      <c r="BD391" s="195"/>
      <c r="BE391" s="195"/>
      <c r="BF391" s="195"/>
      <c r="BG391" s="195"/>
      <c r="BH391" s="350"/>
    </row>
    <row r="392" spans="1:62" s="179" customFormat="1" ht="24.65" customHeight="1">
      <c r="A392" s="145"/>
      <c r="B392" s="163" t="s">
        <v>1757</v>
      </c>
      <c r="C392" s="164"/>
      <c r="D392" s="368"/>
      <c r="E392" s="368"/>
      <c r="F392" s="368"/>
      <c r="G392" s="410"/>
      <c r="H392" s="411"/>
      <c r="I392" s="411"/>
      <c r="J392" s="411"/>
      <c r="K392" s="411"/>
      <c r="L392" s="411"/>
      <c r="M392" s="368"/>
      <c r="N392" s="368"/>
      <c r="O392" s="368"/>
      <c r="P392" s="368"/>
      <c r="Q392" s="368"/>
      <c r="R392" s="368"/>
      <c r="S392" s="368"/>
      <c r="T392" s="368"/>
      <c r="U392" s="368"/>
      <c r="V392" s="368"/>
      <c r="W392" s="368"/>
      <c r="X392" s="368"/>
      <c r="Y392" s="368"/>
      <c r="Z392" s="368"/>
      <c r="AA392" s="368"/>
      <c r="AB392" s="368"/>
      <c r="AC392" s="368"/>
      <c r="AD392" s="368"/>
      <c r="AE392" s="368"/>
      <c r="AF392" s="368"/>
      <c r="AG392" s="368"/>
      <c r="AH392" s="368"/>
      <c r="AI392" s="368"/>
      <c r="AJ392" s="368"/>
      <c r="AK392" s="368"/>
      <c r="AL392" s="368"/>
      <c r="AM392" s="368"/>
      <c r="AN392" s="368"/>
      <c r="AO392" s="368"/>
      <c r="AP392" s="368"/>
      <c r="AQ392" s="368"/>
      <c r="AR392" s="368"/>
      <c r="AS392" s="368"/>
      <c r="AT392" s="368"/>
      <c r="AU392" s="368"/>
      <c r="AV392" s="368"/>
      <c r="AW392" s="368"/>
      <c r="AX392" s="368"/>
      <c r="AY392" s="257"/>
      <c r="AZ392" s="178"/>
      <c r="BA392" s="368"/>
      <c r="BB392" s="368"/>
      <c r="BC392" s="165"/>
      <c r="BD392" s="165"/>
      <c r="BE392" s="165"/>
      <c r="BF392" s="165"/>
      <c r="BG392" s="165"/>
      <c r="BH392" s="368"/>
      <c r="BI392" s="412"/>
      <c r="BJ392" s="412"/>
    </row>
    <row r="393" spans="1:62" ht="40" customHeight="1">
      <c r="A393" s="344">
        <f>SUBTOTAL(3,C$11:$C393)</f>
        <v>279</v>
      </c>
      <c r="B393" s="166" t="s">
        <v>838</v>
      </c>
      <c r="C393" s="338" t="s">
        <v>24</v>
      </c>
      <c r="D393" s="350">
        <v>3.49</v>
      </c>
      <c r="E393" s="350">
        <v>3.4</v>
      </c>
      <c r="F393" s="350">
        <v>0.09</v>
      </c>
      <c r="G393" s="414">
        <f t="shared" ref="G393:G397" si="54">SUM(M393:AR393)</f>
        <v>0.09</v>
      </c>
      <c r="H393" s="413" t="s">
        <v>32</v>
      </c>
      <c r="I393" s="413" t="s">
        <v>32</v>
      </c>
      <c r="J393" s="413"/>
      <c r="K393" s="413" t="str">
        <f t="shared" ref="K393:K399" si="55">IF(M393&lt;&gt;0,$M$5&amp;", ","")&amp;IF(N393&lt;&gt;0,$N$5&amp;", ","")&amp;IF(O393&lt;&gt;0,O$5&amp;", ","")&amp;IF(P393&lt;&gt;0,P$5&amp;", ","")&amp;IF(Q393&lt;&gt;0,Q$5&amp;", ","")&amp;IF(R393&lt;&gt;0,R$5&amp;", ","")&amp;IF(S393&lt;&gt;0,S$5&amp;", ","")&amp;IF(T393&lt;&gt;0,T$5&amp;", ","")&amp;IF(U393&lt;&gt;0,U$5&amp;", ","")&amp;IF(V393&lt;&gt;0,V$5&amp;", ","")&amp;IF(W393&lt;&gt;0,W$5&amp;", ","")&amp;IF(X393&lt;&gt;0,X$5&amp;", ","")&amp;IF(Y393&lt;&gt;0,Y$5&amp;", ","")&amp;IF(Z393&lt;&gt;0,Z$5&amp;", ","")&amp;IF(AA393&lt;&gt;0,AA$5&amp;", ","")&amp;IF(AB393&lt;&gt;0,AB$5&amp;", ","")&amp;IF(AC393&lt;&gt;0,AC$5&amp;", ","")&amp;IF(AD393&lt;&gt;0,AD$5&amp;", ","")&amp;IF(AE393&lt;&gt;0,AE$5&amp;", ","")&amp;IF(AF393&lt;&gt;0,AF$5&amp;", ","")&amp;IF(AG393&lt;&gt;0,AG$5&amp;", ","")&amp;IF(AH393&lt;&gt;0,AH$5&amp;", ","")&amp;IF(AI393&lt;&gt;0,AI$5&amp;", ","")&amp;IF(AJ393&lt;&gt;0,AJ$5&amp;", ","")&amp;IF(AK393&lt;&gt;0,AK$5&amp;", ","")&amp;IF(AL393&lt;&gt;0,AL$5&amp;", ","")&amp;IF(AM393&lt;&gt;0,AM$5&amp;", ","")&amp;IF(AN393&lt;&gt;0,AN$5&amp;", ","")&amp;IF(AO393&lt;&gt;0,AO$5&amp;", ","")&amp;IF(AP393&lt;&gt;0,AP$5&amp;", ","")&amp;IF(AQ393&lt;&gt;0,AQ$5&amp;", ","")&amp;IF(AR393&lt;&gt;0,AR$5,"")&amp;IF(AS393&lt;&gt;0,AS$5,"")&amp;IF(AT393&lt;&gt;0,AT$5,"")&amp;IF(AU393&lt;&gt;0,AU$5,"")</f>
        <v xml:space="preserve">SKC, </v>
      </c>
      <c r="L393" s="413" t="str">
        <f t="shared" ref="L393:L400" si="56">IF(M393="","",$M$5&amp;":"&amp;M393&amp;";")&amp;IF(N393="","",$N$5&amp;":"&amp;N393&amp;";")&amp;IF(O393="","",$O$5&amp;":"&amp;O393&amp;";")&amp;IF(P393="","",$P$5&amp;":"&amp;P393&amp;";")&amp;IF(Q393="","",$Q$5&amp;":"&amp;Q393&amp;";")&amp;IF(R393="","",$R$5&amp;":"&amp;R393&amp;";")&amp;IF(S393="","",$S$5&amp;":"&amp;S393&amp;";")&amp;IF(T393="","",$T$5&amp;":"&amp;T393&amp;";")&amp;IF(U393="","",$U$5&amp;":"&amp;U393&amp;";")&amp;IF(V393="","",$V$5&amp;":"&amp;V393&amp;";")&amp;IF(W393="","",$W$5&amp;":"&amp;W393&amp;";")&amp;IF(X393="","",$X$5&amp;":"&amp;X393&amp;";")&amp;IF(Y393="","",$Y$5&amp;":"&amp;Y393&amp;";")&amp;IF(Z393="","",$Z$5&amp;":"&amp;Z393&amp;";")&amp;IF(AA393="","",$AA$5&amp;":"&amp;AA393&amp;";")&amp;IF(AB393="","",$AB$5&amp;":"&amp;AB393&amp;";")&amp;IF(AC393="","",$AC$5&amp;":"&amp;AC393&amp;";")&amp;IF(AD393="","",$AD$5&amp;":"&amp;AD393&amp;";")&amp;IF(AE393="","",$AE$5&amp;":"&amp;AE393&amp;";")&amp;IF(AF393="","",$AF$5&amp;":"&amp;AF393&amp;";")&amp;IF(AG393="","",$AG$5&amp;":"&amp;AG393&amp;";")&amp;IF(AH393="","",$AH$5&amp;":"&amp;AH393&amp;";")&amp;IF(AI393="","",$AI$5&amp;":"&amp;AI393&amp;";")&amp;IF(AJ393="","",$AJ$5&amp;":"&amp;AJ393&amp;";")&amp;IF(AK393="","",$AK$5&amp;":"&amp;AK393&amp;";")&amp;IF(AL393="","",$AL$5&amp;":"&amp;AL393&amp;";")&amp;IF(AM393="","",$AM$5&amp;":"&amp;AM393&amp;";")&amp;IF(AN393="","",$AN$5&amp;":"&amp;AN393&amp;";")&amp;IF(AO393="","",$AO$5&amp;":"&amp;AO393&amp;";")&amp;IF(AP393="","",$AP$5&amp;":"&amp;AP393&amp;";")&amp;IF(AQ393="","",$AQ$5&amp;":"&amp;AQ393&amp;";")&amp;IF(AR393="","",$AR$5&amp;":"&amp;AR393&amp;";")&amp;IF(AS393="","",$AS$5&amp;":"&amp;AS393&amp;";")&amp;IF(AT393="","",$AT$5&amp;":"&amp;AT393&amp;";")&amp;IF(AU393="","",$AU$5&amp;":"&amp;AU393&amp;";")</f>
        <v>SKC:0,09;</v>
      </c>
      <c r="M393" s="350"/>
      <c r="N393" s="350"/>
      <c r="O393" s="350"/>
      <c r="P393" s="350"/>
      <c r="Q393" s="350"/>
      <c r="R393" s="350"/>
      <c r="S393" s="350"/>
      <c r="T393" s="350"/>
      <c r="U393" s="350"/>
      <c r="V393" s="350">
        <v>0.09</v>
      </c>
      <c r="W393" s="350"/>
      <c r="X393" s="350"/>
      <c r="Y393" s="350"/>
      <c r="Z393" s="350"/>
      <c r="AA393" s="350"/>
      <c r="AB393" s="350"/>
      <c r="AC393" s="350"/>
      <c r="AD393" s="350"/>
      <c r="AE393" s="350"/>
      <c r="AF393" s="350"/>
      <c r="AG393" s="350"/>
      <c r="AH393" s="350"/>
      <c r="AI393" s="350"/>
      <c r="AJ393" s="350"/>
      <c r="AK393" s="350"/>
      <c r="AL393" s="350"/>
      <c r="AM393" s="350"/>
      <c r="AN393" s="350"/>
      <c r="AO393" s="350"/>
      <c r="AP393" s="350"/>
      <c r="AQ393" s="350"/>
      <c r="AR393" s="350"/>
      <c r="AS393" s="350"/>
      <c r="AT393" s="350"/>
      <c r="AU393" s="350"/>
      <c r="AV393" s="338" t="s">
        <v>217</v>
      </c>
      <c r="AW393" s="338" t="s">
        <v>217</v>
      </c>
      <c r="AX393" s="350" t="s">
        <v>839</v>
      </c>
      <c r="AY393" s="356" t="s">
        <v>839</v>
      </c>
      <c r="AZ393" s="352" t="s">
        <v>1674</v>
      </c>
      <c r="BA393" s="350"/>
      <c r="BB393" s="350"/>
      <c r="BC393" s="195" t="s">
        <v>270</v>
      </c>
      <c r="BD393" s="195"/>
      <c r="BE393" s="195"/>
      <c r="BF393" s="195" t="s">
        <v>263</v>
      </c>
      <c r="BG393" s="195"/>
      <c r="BH393" s="350"/>
    </row>
    <row r="394" spans="1:62" ht="40" customHeight="1">
      <c r="A394" s="348">
        <f>SUBTOTAL(3,C$11:$C394)</f>
        <v>280</v>
      </c>
      <c r="B394" s="337" t="s">
        <v>841</v>
      </c>
      <c r="C394" s="338" t="s">
        <v>24</v>
      </c>
      <c r="D394" s="361">
        <v>0.82399999999999995</v>
      </c>
      <c r="E394" s="366">
        <v>0.28920000000000001</v>
      </c>
      <c r="F394" s="361">
        <v>0.53480000000000005</v>
      </c>
      <c r="G394" s="414">
        <f t="shared" si="54"/>
        <v>0.53</v>
      </c>
      <c r="H394" s="413" t="s">
        <v>1676</v>
      </c>
      <c r="I394" s="413" t="s">
        <v>1677</v>
      </c>
      <c r="J394" s="413"/>
      <c r="K394" s="413" t="str">
        <f t="shared" si="55"/>
        <v xml:space="preserve">LUC, DGD, DSH, </v>
      </c>
      <c r="L394" s="413" t="str">
        <f t="shared" si="56"/>
        <v>LUC:0,34;DGD:0,04;DSH:0,15;</v>
      </c>
      <c r="M394" s="361">
        <v>0.34</v>
      </c>
      <c r="N394" s="361"/>
      <c r="O394" s="361"/>
      <c r="P394" s="361"/>
      <c r="Q394" s="361"/>
      <c r="R394" s="361"/>
      <c r="S394" s="361"/>
      <c r="T394" s="361"/>
      <c r="U394" s="361"/>
      <c r="V394" s="361"/>
      <c r="W394" s="361"/>
      <c r="X394" s="361"/>
      <c r="Y394" s="361"/>
      <c r="Z394" s="361"/>
      <c r="AA394" s="361">
        <v>0.04</v>
      </c>
      <c r="AB394" s="361"/>
      <c r="AC394" s="361"/>
      <c r="AD394" s="361"/>
      <c r="AE394" s="361"/>
      <c r="AF394" s="361"/>
      <c r="AG394" s="361"/>
      <c r="AH394" s="361"/>
      <c r="AI394" s="361"/>
      <c r="AJ394" s="361">
        <v>0.15</v>
      </c>
      <c r="AK394" s="361"/>
      <c r="AL394" s="361"/>
      <c r="AM394" s="361"/>
      <c r="AN394" s="361"/>
      <c r="AO394" s="361"/>
      <c r="AP394" s="361"/>
      <c r="AQ394" s="361"/>
      <c r="AR394" s="361"/>
      <c r="AS394" s="361"/>
      <c r="AT394" s="361"/>
      <c r="AU394" s="361"/>
      <c r="AV394" s="338" t="s">
        <v>217</v>
      </c>
      <c r="AW394" s="338" t="s">
        <v>217</v>
      </c>
      <c r="AX394" s="432" t="s">
        <v>842</v>
      </c>
      <c r="AY394" s="433" t="s">
        <v>842</v>
      </c>
      <c r="AZ394" s="434" t="s">
        <v>1678</v>
      </c>
      <c r="BA394" s="432"/>
      <c r="BB394" s="432"/>
      <c r="BC394" s="195" t="s">
        <v>270</v>
      </c>
      <c r="BD394" s="195"/>
      <c r="BE394" s="195"/>
      <c r="BF394" s="195"/>
      <c r="BG394" s="195" t="s">
        <v>263</v>
      </c>
      <c r="BH394" s="432"/>
    </row>
    <row r="395" spans="1:62" ht="40" customHeight="1">
      <c r="A395" s="348">
        <f>SUBTOTAL(3,C$11:$C395)</f>
        <v>281</v>
      </c>
      <c r="B395" s="337" t="s">
        <v>843</v>
      </c>
      <c r="C395" s="338" t="s">
        <v>24</v>
      </c>
      <c r="D395" s="339">
        <v>0.33</v>
      </c>
      <c r="E395" s="339"/>
      <c r="F395" s="339">
        <v>0.33</v>
      </c>
      <c r="G395" s="414">
        <f t="shared" si="54"/>
        <v>0.32999999999999996</v>
      </c>
      <c r="H395" s="413" t="s">
        <v>1094</v>
      </c>
      <c r="I395" s="413" t="s">
        <v>1095</v>
      </c>
      <c r="J395" s="413"/>
      <c r="K395" s="413" t="str">
        <f t="shared" si="55"/>
        <v xml:space="preserve">LUC, HNK, </v>
      </c>
      <c r="L395" s="413" t="str">
        <f t="shared" si="56"/>
        <v>LUC:0,15;HNK:0,18;</v>
      </c>
      <c r="M395" s="339">
        <v>0.15</v>
      </c>
      <c r="N395" s="339"/>
      <c r="O395" s="339">
        <v>0.18</v>
      </c>
      <c r="P395" s="339"/>
      <c r="Q395" s="339"/>
      <c r="R395" s="339"/>
      <c r="S395" s="339"/>
      <c r="T395" s="339"/>
      <c r="U395" s="339"/>
      <c r="V395" s="339"/>
      <c r="W395" s="339"/>
      <c r="X395" s="339"/>
      <c r="Y395" s="339"/>
      <c r="Z395" s="339"/>
      <c r="AA395" s="339"/>
      <c r="AB395" s="339"/>
      <c r="AC395" s="339"/>
      <c r="AD395" s="339"/>
      <c r="AE395" s="339"/>
      <c r="AF395" s="339"/>
      <c r="AG395" s="339"/>
      <c r="AH395" s="339"/>
      <c r="AI395" s="339"/>
      <c r="AJ395" s="339"/>
      <c r="AK395" s="339"/>
      <c r="AL395" s="339"/>
      <c r="AM395" s="339"/>
      <c r="AN395" s="339"/>
      <c r="AO395" s="339"/>
      <c r="AP395" s="339"/>
      <c r="AQ395" s="339"/>
      <c r="AR395" s="339"/>
      <c r="AS395" s="339"/>
      <c r="AT395" s="339"/>
      <c r="AU395" s="339"/>
      <c r="AV395" s="338" t="s">
        <v>217</v>
      </c>
      <c r="AW395" s="338" t="s">
        <v>217</v>
      </c>
      <c r="AX395" s="350" t="s">
        <v>844</v>
      </c>
      <c r="AY395" s="356" t="s">
        <v>844</v>
      </c>
      <c r="AZ395" s="352" t="s">
        <v>1679</v>
      </c>
      <c r="BA395" s="350"/>
      <c r="BB395" s="350"/>
      <c r="BC395" s="195" t="s">
        <v>270</v>
      </c>
      <c r="BD395" s="195"/>
      <c r="BE395" s="195"/>
      <c r="BF395" s="195" t="s">
        <v>263</v>
      </c>
      <c r="BG395" s="195"/>
      <c r="BH395" s="350"/>
    </row>
    <row r="396" spans="1:62" ht="40" customHeight="1">
      <c r="A396" s="348">
        <f>SUBTOTAL(3,C$11:$C396)</f>
        <v>282</v>
      </c>
      <c r="B396" s="337" t="s">
        <v>845</v>
      </c>
      <c r="C396" s="338" t="s">
        <v>24</v>
      </c>
      <c r="D396" s="339">
        <v>0.17</v>
      </c>
      <c r="E396" s="339"/>
      <c r="F396" s="339">
        <v>0.17</v>
      </c>
      <c r="G396" s="414">
        <f t="shared" si="54"/>
        <v>0.16999999999999998</v>
      </c>
      <c r="H396" s="413" t="s">
        <v>1632</v>
      </c>
      <c r="I396" s="413" t="s">
        <v>1632</v>
      </c>
      <c r="J396" s="413"/>
      <c r="K396" s="413" t="str">
        <f t="shared" si="55"/>
        <v xml:space="preserve">HNK, ODT, </v>
      </c>
      <c r="L396" s="413" t="str">
        <f t="shared" si="56"/>
        <v>HNK:0,12;ODT:0,05;</v>
      </c>
      <c r="M396" s="339"/>
      <c r="N396" s="339"/>
      <c r="O396" s="339">
        <v>0.12</v>
      </c>
      <c r="P396" s="339"/>
      <c r="Q396" s="339"/>
      <c r="R396" s="339"/>
      <c r="S396" s="339"/>
      <c r="T396" s="339"/>
      <c r="U396" s="339"/>
      <c r="V396" s="339"/>
      <c r="W396" s="339"/>
      <c r="X396" s="339"/>
      <c r="Y396" s="339"/>
      <c r="Z396" s="339"/>
      <c r="AA396" s="339"/>
      <c r="AB396" s="339"/>
      <c r="AC396" s="339"/>
      <c r="AD396" s="339"/>
      <c r="AE396" s="339"/>
      <c r="AF396" s="339"/>
      <c r="AG396" s="339"/>
      <c r="AH396" s="339"/>
      <c r="AI396" s="339"/>
      <c r="AJ396" s="339"/>
      <c r="AK396" s="339"/>
      <c r="AL396" s="339"/>
      <c r="AM396" s="339">
        <v>0.05</v>
      </c>
      <c r="AN396" s="339"/>
      <c r="AO396" s="339"/>
      <c r="AP396" s="339"/>
      <c r="AQ396" s="339"/>
      <c r="AR396" s="339"/>
      <c r="AS396" s="339"/>
      <c r="AT396" s="339"/>
      <c r="AU396" s="339"/>
      <c r="AV396" s="338" t="s">
        <v>217</v>
      </c>
      <c r="AW396" s="338" t="s">
        <v>217</v>
      </c>
      <c r="AX396" s="350" t="s">
        <v>846</v>
      </c>
      <c r="AY396" s="356" t="s">
        <v>846</v>
      </c>
      <c r="AZ396" s="352" t="s">
        <v>1680</v>
      </c>
      <c r="BA396" s="350"/>
      <c r="BB396" s="350"/>
      <c r="BC396" s="195" t="s">
        <v>270</v>
      </c>
      <c r="BD396" s="195"/>
      <c r="BE396" s="195"/>
      <c r="BF396" s="195" t="s">
        <v>263</v>
      </c>
      <c r="BG396" s="195"/>
      <c r="BH396" s="350"/>
    </row>
    <row r="397" spans="1:62" ht="40" customHeight="1">
      <c r="A397" s="348">
        <f>SUBTOTAL(3,C$11:$C397)</f>
        <v>283</v>
      </c>
      <c r="B397" s="337" t="s">
        <v>847</v>
      </c>
      <c r="C397" s="338" t="s">
        <v>24</v>
      </c>
      <c r="D397" s="339">
        <v>1.98</v>
      </c>
      <c r="E397" s="339">
        <v>1.46</v>
      </c>
      <c r="F397" s="339">
        <v>0.52</v>
      </c>
      <c r="G397" s="414">
        <f t="shared" si="54"/>
        <v>0.52</v>
      </c>
      <c r="H397" s="413" t="s">
        <v>1681</v>
      </c>
      <c r="I397" s="413" t="s">
        <v>1681</v>
      </c>
      <c r="J397" s="413"/>
      <c r="K397" s="413" t="str">
        <f t="shared" si="55"/>
        <v xml:space="preserve">DGT, ODT, SON, </v>
      </c>
      <c r="L397" s="413" t="str">
        <f t="shared" si="56"/>
        <v>DGT:0,18;ODT:0,23;SON:0,11;</v>
      </c>
      <c r="M397" s="339"/>
      <c r="N397" s="339"/>
      <c r="O397" s="339"/>
      <c r="P397" s="339"/>
      <c r="Q397" s="339"/>
      <c r="R397" s="339"/>
      <c r="S397" s="339"/>
      <c r="T397" s="339"/>
      <c r="U397" s="339"/>
      <c r="V397" s="339"/>
      <c r="W397" s="339">
        <v>0.18</v>
      </c>
      <c r="X397" s="339"/>
      <c r="Y397" s="339"/>
      <c r="Z397" s="339"/>
      <c r="AA397" s="339"/>
      <c r="AB397" s="339"/>
      <c r="AC397" s="339"/>
      <c r="AD397" s="339"/>
      <c r="AE397" s="339"/>
      <c r="AF397" s="339"/>
      <c r="AG397" s="339"/>
      <c r="AH397" s="339"/>
      <c r="AI397" s="339"/>
      <c r="AJ397" s="339"/>
      <c r="AK397" s="339"/>
      <c r="AL397" s="339"/>
      <c r="AM397" s="339">
        <v>0.23</v>
      </c>
      <c r="AN397" s="339"/>
      <c r="AO397" s="339"/>
      <c r="AP397" s="339"/>
      <c r="AQ397" s="339">
        <v>0.11</v>
      </c>
      <c r="AR397" s="339"/>
      <c r="AS397" s="339"/>
      <c r="AT397" s="339"/>
      <c r="AU397" s="339"/>
      <c r="AV397" s="338" t="s">
        <v>217</v>
      </c>
      <c r="AW397" s="338" t="s">
        <v>217</v>
      </c>
      <c r="AX397" s="350" t="s">
        <v>603</v>
      </c>
      <c r="AY397" s="356" t="s">
        <v>603</v>
      </c>
      <c r="AZ397" s="352" t="s">
        <v>1682</v>
      </c>
      <c r="BA397" s="350"/>
      <c r="BB397" s="350"/>
      <c r="BC397" s="195" t="s">
        <v>270</v>
      </c>
      <c r="BD397" s="195"/>
      <c r="BE397" s="195"/>
      <c r="BF397" s="195" t="s">
        <v>263</v>
      </c>
      <c r="BG397" s="195"/>
      <c r="BH397" s="350"/>
    </row>
    <row r="398" spans="1:62" ht="40" customHeight="1">
      <c r="A398" s="348">
        <f>SUBTOTAL(3,C$11:$C398)</f>
        <v>284</v>
      </c>
      <c r="B398" s="337" t="s">
        <v>854</v>
      </c>
      <c r="C398" s="338" t="s">
        <v>24</v>
      </c>
      <c r="D398" s="339">
        <v>0.22</v>
      </c>
      <c r="E398" s="339"/>
      <c r="F398" s="339">
        <v>0.22</v>
      </c>
      <c r="G398" s="414">
        <f>SUM(M398:AR398)</f>
        <v>0.22</v>
      </c>
      <c r="H398" s="413" t="s">
        <v>1094</v>
      </c>
      <c r="I398" s="413" t="s">
        <v>1095</v>
      </c>
      <c r="J398" s="413"/>
      <c r="K398" s="413" t="str">
        <f t="shared" si="55"/>
        <v xml:space="preserve">LUC, HNK, </v>
      </c>
      <c r="L398" s="413" t="str">
        <f t="shared" si="56"/>
        <v>LUC:0,19;HNK:0,03;</v>
      </c>
      <c r="M398" s="339">
        <v>0.19</v>
      </c>
      <c r="N398" s="339"/>
      <c r="O398" s="339">
        <v>0.03</v>
      </c>
      <c r="P398" s="339"/>
      <c r="Q398" s="339"/>
      <c r="R398" s="339"/>
      <c r="S398" s="339"/>
      <c r="T398" s="339"/>
      <c r="U398" s="339"/>
      <c r="V398" s="339"/>
      <c r="W398" s="339"/>
      <c r="X398" s="339"/>
      <c r="Y398" s="339"/>
      <c r="Z398" s="339"/>
      <c r="AA398" s="339"/>
      <c r="AB398" s="339"/>
      <c r="AC398" s="339"/>
      <c r="AD398" s="339"/>
      <c r="AE398" s="339"/>
      <c r="AF398" s="339"/>
      <c r="AG398" s="339"/>
      <c r="AH398" s="339"/>
      <c r="AI398" s="339"/>
      <c r="AJ398" s="339"/>
      <c r="AK398" s="339"/>
      <c r="AL398" s="339"/>
      <c r="AM398" s="339"/>
      <c r="AN398" s="339"/>
      <c r="AO398" s="339"/>
      <c r="AP398" s="339"/>
      <c r="AQ398" s="339"/>
      <c r="AR398" s="339"/>
      <c r="AS398" s="339"/>
      <c r="AT398" s="339"/>
      <c r="AU398" s="339"/>
      <c r="AV398" s="338" t="s">
        <v>306</v>
      </c>
      <c r="AW398" s="338" t="s">
        <v>306</v>
      </c>
      <c r="AX398" s="432" t="s">
        <v>855</v>
      </c>
      <c r="AY398" s="433" t="s">
        <v>855</v>
      </c>
      <c r="AZ398" s="434" t="s">
        <v>1686</v>
      </c>
      <c r="BA398" s="432"/>
      <c r="BB398" s="432"/>
      <c r="BC398" s="195" t="s">
        <v>270</v>
      </c>
      <c r="BD398" s="195"/>
      <c r="BE398" s="195"/>
      <c r="BF398" s="195" t="s">
        <v>263</v>
      </c>
      <c r="BG398" s="195"/>
      <c r="BH398" s="432"/>
    </row>
    <row r="399" spans="1:62" ht="30.75" customHeight="1">
      <c r="A399" s="375" t="s">
        <v>25</v>
      </c>
      <c r="B399" s="159" t="s">
        <v>1733</v>
      </c>
      <c r="C399" s="158"/>
      <c r="D399" s="350"/>
      <c r="E399" s="350"/>
      <c r="F399" s="350"/>
      <c r="G399" s="414"/>
      <c r="H399" s="413"/>
      <c r="I399" s="413"/>
      <c r="J399" s="413"/>
      <c r="K399" s="413" t="str">
        <f t="shared" si="55"/>
        <v/>
      </c>
      <c r="L399" s="413" t="str">
        <f t="shared" si="56"/>
        <v/>
      </c>
      <c r="M399" s="350"/>
      <c r="N399" s="350"/>
      <c r="O399" s="350"/>
      <c r="P399" s="350"/>
      <c r="Q399" s="350"/>
      <c r="R399" s="350"/>
      <c r="S399" s="350"/>
      <c r="T399" s="350"/>
      <c r="U399" s="350"/>
      <c r="V399" s="350"/>
      <c r="W399" s="350"/>
      <c r="X399" s="350"/>
      <c r="Y399" s="350"/>
      <c r="Z399" s="350"/>
      <c r="AA399" s="350"/>
      <c r="AB399" s="350"/>
      <c r="AC399" s="350"/>
      <c r="AD399" s="350"/>
      <c r="AE399" s="350"/>
      <c r="AF399" s="350"/>
      <c r="AG399" s="350"/>
      <c r="AH399" s="350"/>
      <c r="AI399" s="350"/>
      <c r="AJ399" s="350"/>
      <c r="AK399" s="350"/>
      <c r="AL399" s="350"/>
      <c r="AM399" s="350"/>
      <c r="AN399" s="350"/>
      <c r="AO399" s="350"/>
      <c r="AP399" s="350"/>
      <c r="AQ399" s="350"/>
      <c r="AR399" s="350"/>
      <c r="AS399" s="350"/>
      <c r="AT399" s="350"/>
      <c r="AU399" s="350"/>
      <c r="AV399" s="350"/>
      <c r="AW399" s="350"/>
      <c r="AX399" s="350"/>
      <c r="AY399" s="356"/>
      <c r="AZ399" s="352"/>
      <c r="BA399" s="350"/>
      <c r="BB399" s="350"/>
      <c r="BC399" s="195"/>
      <c r="BD399" s="195"/>
      <c r="BE399" s="195"/>
      <c r="BF399" s="195"/>
      <c r="BG399" s="195"/>
      <c r="BH399" s="350"/>
    </row>
    <row r="400" spans="1:62" ht="25.5" customHeight="1">
      <c r="A400" s="151" t="s">
        <v>1734</v>
      </c>
      <c r="B400" s="154" t="s">
        <v>204</v>
      </c>
      <c r="C400" s="155"/>
      <c r="D400" s="351"/>
      <c r="E400" s="351"/>
      <c r="F400" s="351"/>
      <c r="G400" s="414"/>
      <c r="H400" s="413"/>
      <c r="I400" s="413"/>
      <c r="J400" s="413"/>
      <c r="K400" s="413" t="str">
        <f>IF(M400&lt;&gt;0,$M$5&amp;", ","")&amp;IF(N400&lt;&gt;0,$N$5&amp;", ","")&amp;IF(O400&lt;&gt;0,O$5&amp;", ","")&amp;IF(P400&lt;&gt;0,P$5&amp;", ","")&amp;IF(Q400&lt;&gt;0,Q$5&amp;", ","")&amp;IF(R400&lt;&gt;0,R$5&amp;", ","")&amp;IF(S400&lt;&gt;0,S$5&amp;", ","")&amp;IF(T400&lt;&gt;0,T$5&amp;", ","")&amp;IF(U400&lt;&gt;0,U$5&amp;", ","")&amp;IF(V400&lt;&gt;0,V$5&amp;", ","")&amp;IF(W400&lt;&gt;0,W$5&amp;", ","")&amp;IF(X400&lt;&gt;0,X$5&amp;", ","")&amp;IF(Y400&lt;&gt;0,Y$5&amp;", ","")&amp;IF(Z400&lt;&gt;0,Z$5&amp;", ","")&amp;IF(AA400&lt;&gt;0,AA$5&amp;", ","")&amp;IF(AB400&lt;&gt;0,AB$5&amp;", ","")&amp;IF(AC400&lt;&gt;0,AC$5&amp;", ","")&amp;IF(AD400&lt;&gt;0,AD$5&amp;", ","")&amp;IF(AE400&lt;&gt;0,AE$5&amp;", ","")&amp;IF(AF400&lt;&gt;0,AF$5&amp;", ","")&amp;IF(AG400&lt;&gt;0,AG$5&amp;", ","")&amp;IF(AH400&lt;&gt;0,AH$5&amp;", ","")&amp;IF(AI400&lt;&gt;0,AI$5&amp;", ","")&amp;IF(AJ400&lt;&gt;0,AJ$5&amp;", ","")&amp;IF(AK400&lt;&gt;0,AK$5&amp;", ","")&amp;IF(AL400&lt;&gt;0,AL$5&amp;", ","")&amp;IF(AM400&lt;&gt;0,AM$5&amp;", ","")&amp;IF(AN400&lt;&gt;0,AN$5&amp;", ","")&amp;IF(AO400&lt;&gt;0,AO$5&amp;", ","")&amp;IF(AP400&lt;&gt;0,AP$5&amp;", ","")&amp;IF(AQ400&lt;&gt;0,AQ$5&amp;", ","")&amp;IF(AR400&lt;&gt;0,AR$5,"")&amp;IF(AS400&lt;&gt;0,AS$5,"")&amp;IF(AT400&lt;&gt;0,AT$5,"")&amp;IF(AU400&lt;&gt;0,AU$5,"")</f>
        <v/>
      </c>
      <c r="L400" s="413" t="str">
        <f t="shared" si="56"/>
        <v/>
      </c>
      <c r="M400" s="351"/>
      <c r="N400" s="351"/>
      <c r="O400" s="351"/>
      <c r="P400" s="351"/>
      <c r="Q400" s="351"/>
      <c r="R400" s="351"/>
      <c r="S400" s="351"/>
      <c r="T400" s="351"/>
      <c r="U400" s="351"/>
      <c r="V400" s="351"/>
      <c r="W400" s="351"/>
      <c r="X400" s="351"/>
      <c r="Y400" s="351"/>
      <c r="Z400" s="351"/>
      <c r="AA400" s="351"/>
      <c r="AB400" s="351"/>
      <c r="AC400" s="351"/>
      <c r="AD400" s="351"/>
      <c r="AE400" s="351"/>
      <c r="AF400" s="351"/>
      <c r="AG400" s="351"/>
      <c r="AH400" s="351"/>
      <c r="AI400" s="351"/>
      <c r="AJ400" s="351"/>
      <c r="AK400" s="351"/>
      <c r="AL400" s="351"/>
      <c r="AM400" s="351"/>
      <c r="AN400" s="351"/>
      <c r="AO400" s="351"/>
      <c r="AP400" s="351"/>
      <c r="AQ400" s="351"/>
      <c r="AR400" s="351"/>
      <c r="AS400" s="351"/>
      <c r="AT400" s="351"/>
      <c r="AU400" s="351"/>
      <c r="AV400" s="351"/>
      <c r="AW400" s="351"/>
      <c r="AX400" s="351"/>
      <c r="AY400" s="260"/>
      <c r="AZ400" s="181"/>
      <c r="BA400" s="351"/>
      <c r="BB400" s="351"/>
      <c r="BC400" s="156"/>
      <c r="BD400" s="156"/>
      <c r="BE400" s="156"/>
      <c r="BF400" s="156"/>
      <c r="BG400" s="156"/>
      <c r="BH400" s="351"/>
    </row>
    <row r="401" spans="1:62" s="183" customFormat="1" ht="29.25" customHeight="1">
      <c r="A401" s="167"/>
      <c r="B401" s="168" t="s">
        <v>1757</v>
      </c>
      <c r="C401" s="164"/>
      <c r="D401" s="169"/>
      <c r="E401" s="169"/>
      <c r="F401" s="169"/>
      <c r="G401" s="441"/>
      <c r="H401" s="442"/>
      <c r="I401" s="442"/>
      <c r="J401" s="442"/>
      <c r="K401" s="442"/>
      <c r="L401" s="442"/>
      <c r="M401" s="169"/>
      <c r="N401" s="169"/>
      <c r="O401" s="169"/>
      <c r="P401" s="169"/>
      <c r="Q401" s="169"/>
      <c r="R401" s="169"/>
      <c r="S401" s="169"/>
      <c r="T401" s="169"/>
      <c r="U401" s="169"/>
      <c r="V401" s="169"/>
      <c r="W401" s="169"/>
      <c r="X401" s="169"/>
      <c r="Y401" s="169"/>
      <c r="Z401" s="169"/>
      <c r="AA401" s="169"/>
      <c r="AB401" s="169"/>
      <c r="AC401" s="169"/>
      <c r="AD401" s="169"/>
      <c r="AE401" s="169"/>
      <c r="AF401" s="169"/>
      <c r="AG401" s="169"/>
      <c r="AH401" s="169"/>
      <c r="AI401" s="169"/>
      <c r="AJ401" s="169"/>
      <c r="AK401" s="169"/>
      <c r="AL401" s="169"/>
      <c r="AM401" s="169"/>
      <c r="AN401" s="169"/>
      <c r="AO401" s="169"/>
      <c r="AP401" s="169"/>
      <c r="AQ401" s="169"/>
      <c r="AR401" s="169"/>
      <c r="AS401" s="169"/>
      <c r="AT401" s="169"/>
      <c r="AU401" s="169"/>
      <c r="AV401" s="169"/>
      <c r="AW401" s="169"/>
      <c r="AX401" s="169"/>
      <c r="AY401" s="263"/>
      <c r="AZ401" s="165"/>
      <c r="BA401" s="169"/>
      <c r="BB401" s="169"/>
      <c r="BC401" s="165"/>
      <c r="BD401" s="165"/>
      <c r="BE401" s="165"/>
      <c r="BF401" s="165"/>
      <c r="BG401" s="165"/>
      <c r="BH401" s="169"/>
      <c r="BI401" s="412"/>
      <c r="BJ401" s="443"/>
    </row>
    <row r="402" spans="1:62" ht="42" customHeight="1">
      <c r="A402" s="344">
        <f>SUBTOTAL(3,C$11:$C402)</f>
        <v>285</v>
      </c>
      <c r="B402" s="362" t="s">
        <v>354</v>
      </c>
      <c r="C402" s="338" t="s">
        <v>88</v>
      </c>
      <c r="D402" s="351">
        <v>239</v>
      </c>
      <c r="E402" s="351"/>
      <c r="F402" s="351">
        <v>239</v>
      </c>
      <c r="G402" s="414">
        <f>SUM(M402:AR402)</f>
        <v>239.00464207498052</v>
      </c>
      <c r="H402" s="413" t="s">
        <v>1069</v>
      </c>
      <c r="I402" s="413" t="s">
        <v>1070</v>
      </c>
      <c r="J402" s="413"/>
      <c r="K402" s="413" t="str">
        <f t="shared" ref="K402:K407" si="57">IF(M402&lt;&gt;0,$M$5&amp;", ","")&amp;IF(N402&lt;&gt;0,$N$5&amp;", ","")&amp;IF(O402&lt;&gt;0,O$5&amp;", ","")&amp;IF(P402&lt;&gt;0,P$5&amp;", ","")&amp;IF(Q402&lt;&gt;0,Q$5&amp;", ","")&amp;IF(R402&lt;&gt;0,R$5&amp;", ","")&amp;IF(S402&lt;&gt;0,S$5&amp;", ","")&amp;IF(T402&lt;&gt;0,T$5&amp;", ","")&amp;IF(U402&lt;&gt;0,U$5&amp;", ","")&amp;IF(V402&lt;&gt;0,V$5&amp;", ","")&amp;IF(W402&lt;&gt;0,W$5&amp;", ","")&amp;IF(X402&lt;&gt;0,X$5&amp;", ","")&amp;IF(Y402&lt;&gt;0,Y$5&amp;", ","")&amp;IF(Z402&lt;&gt;0,Z$5&amp;", ","")&amp;IF(AA402&lt;&gt;0,AA$5&amp;", ","")&amp;IF(AB402&lt;&gt;0,AB$5&amp;", ","")&amp;IF(AC402&lt;&gt;0,AC$5&amp;", ","")&amp;IF(AD402&lt;&gt;0,AD$5&amp;", ","")&amp;IF(AE402&lt;&gt;0,AE$5&amp;", ","")&amp;IF(AF402&lt;&gt;0,AF$5&amp;", ","")&amp;IF(AG402&lt;&gt;0,AG$5&amp;", ","")&amp;IF(AH402&lt;&gt;0,AH$5&amp;", ","")&amp;IF(AI402&lt;&gt;0,AI$5&amp;", ","")&amp;IF(AJ402&lt;&gt;0,AJ$5&amp;", ","")&amp;IF(AK402&lt;&gt;0,AK$5&amp;", ","")&amp;IF(AL402&lt;&gt;0,AL$5&amp;", ","")&amp;IF(AM402&lt;&gt;0,AM$5&amp;", ","")&amp;IF(AN402&lt;&gt;0,AN$5&amp;", ","")&amp;IF(AO402&lt;&gt;0,AO$5&amp;", ","")&amp;IF(AP402&lt;&gt;0,AP$5&amp;", ","")&amp;IF(AQ402&lt;&gt;0,AQ$5&amp;", ","")&amp;IF(AR402&lt;&gt;0,AR$5,"")&amp;IF(AS402&lt;&gt;0,AS$5,"")&amp;IF(AT402&lt;&gt;0,AT$5,"")&amp;IF(AU402&lt;&gt;0,AU$5,"")</f>
        <v xml:space="preserve">HNK, CLN, NTS, DGT, ONT, TIN, SON, </v>
      </c>
      <c r="L402" s="413" t="str">
        <f>IF(M402="","",$M$5&amp;":"&amp;M402&amp;";")&amp;IF(N402="","",$N$5&amp;":"&amp;N402&amp;";")&amp;IF(O402="","",$O$5&amp;":"&amp;O402&amp;";")&amp;IF(P402="","",$P$5&amp;":"&amp;P402&amp;";")&amp;IF(Q402="","",$Q$5&amp;":"&amp;Q402&amp;";")&amp;IF(R402="","",$R$5&amp;":"&amp;R402&amp;";")&amp;IF(S402="","",$S$5&amp;":"&amp;S402&amp;";")&amp;IF(T402="","",$T$5&amp;":"&amp;T402&amp;";")&amp;IF(U402="","",$U$5&amp;":"&amp;U402&amp;";")&amp;IF(V402="","",$V$5&amp;":"&amp;V402&amp;";")&amp;IF(W402="","",$W$5&amp;":"&amp;W402&amp;";")&amp;IF(X402="","",$X$5&amp;":"&amp;X402&amp;";")&amp;IF(Y402="","",$Y$5&amp;":"&amp;Y402&amp;";")&amp;IF(Z402="","",$Z$5&amp;":"&amp;Z402&amp;";")&amp;IF(AA402="","",$AA$5&amp;":"&amp;AA402&amp;";")&amp;IF(AB402="","",$AB$5&amp;":"&amp;AB402&amp;";")&amp;IF(AC402="","",$AC$5&amp;":"&amp;AC402&amp;";")&amp;IF(AD402="","",$AD$5&amp;":"&amp;AD402&amp;";")&amp;IF(AE402="","",$AE$5&amp;":"&amp;AE402&amp;";")&amp;IF(AF402="","",$AF$5&amp;":"&amp;AF402&amp;";")&amp;IF(AG402="","",$AG$5&amp;":"&amp;AG402&amp;";")&amp;IF(AH402="","",$AH$5&amp;":"&amp;AH402&amp;";")&amp;IF(AI402="","",$AI$5&amp;":"&amp;AI402&amp;";")&amp;IF(AJ402="","",$AJ$5&amp;":"&amp;AJ402&amp;";")&amp;IF(AK402="","",$AK$5&amp;":"&amp;AK402&amp;";")&amp;IF(AL402="","",$AL$5&amp;":"&amp;AL402&amp;";")&amp;IF(AM402="","",$AM$5&amp;":"&amp;AM402&amp;";")&amp;IF(AN402="","",$AN$5&amp;":"&amp;AN402&amp;";")&amp;IF(AO402="","",$AO$5&amp;":"&amp;AO402&amp;";")&amp;IF(AP402="","",$AP$5&amp;":"&amp;AP402&amp;";")&amp;IF(AQ402="","",$AQ$5&amp;":"&amp;AQ402&amp;";")&amp;IF(AR402="","",$AR$5&amp;":"&amp;AR402&amp;";")&amp;IF(AS402="","",$AS$5&amp;":"&amp;AS402&amp;";")&amp;IF(AT402="","",$AT$5&amp;":"&amp;AT402&amp;";")&amp;IF(AU402="","",$AU$5&amp;":"&amp;AU402&amp;";")</f>
        <v>HNK:6,86633742233551;CLN:54,1746335245379;NTS:119,231994901211;DGT:3,98342893562779;ONT:39,8342893562779;TIN:0,382409177820268;SON:14,5315487571702;</v>
      </c>
      <c r="M402" s="351"/>
      <c r="N402" s="351"/>
      <c r="O402" s="351">
        <f>4.31/62.77%</f>
        <v>6.8663374223355094</v>
      </c>
      <c r="P402" s="351">
        <f>34/62.76%</f>
        <v>54.174633524537924</v>
      </c>
      <c r="Q402" s="351">
        <f>74.83/62.76%</f>
        <v>119.23199490121097</v>
      </c>
      <c r="R402" s="351"/>
      <c r="S402" s="351"/>
      <c r="T402" s="351"/>
      <c r="U402" s="351"/>
      <c r="V402" s="351"/>
      <c r="W402" s="351">
        <f>2.5/62.76%</f>
        <v>3.983428935627789</v>
      </c>
      <c r="X402" s="351"/>
      <c r="Y402" s="351"/>
      <c r="Z402" s="351"/>
      <c r="AA402" s="351"/>
      <c r="AB402" s="351"/>
      <c r="AC402" s="351"/>
      <c r="AD402" s="351"/>
      <c r="AE402" s="351"/>
      <c r="AF402" s="351"/>
      <c r="AG402" s="351"/>
      <c r="AH402" s="351"/>
      <c r="AI402" s="351"/>
      <c r="AJ402" s="351"/>
      <c r="AK402" s="351"/>
      <c r="AL402" s="351">
        <f>25/62.76%</f>
        <v>39.834289356277885</v>
      </c>
      <c r="AM402" s="351"/>
      <c r="AN402" s="351"/>
      <c r="AO402" s="351"/>
      <c r="AP402" s="351">
        <f>0.24/62.76%</f>
        <v>0.38240917782026773</v>
      </c>
      <c r="AQ402" s="351">
        <f>9.12/62.76%</f>
        <v>14.531548757170173</v>
      </c>
      <c r="AR402" s="351"/>
      <c r="AS402" s="351"/>
      <c r="AT402" s="351"/>
      <c r="AU402" s="351"/>
      <c r="AV402" s="351" t="s">
        <v>292</v>
      </c>
      <c r="AW402" s="351" t="s">
        <v>292</v>
      </c>
      <c r="AX402" s="351" t="s">
        <v>355</v>
      </c>
      <c r="AY402" s="260" t="s">
        <v>355</v>
      </c>
      <c r="AZ402" s="181" t="s">
        <v>1071</v>
      </c>
      <c r="BA402" s="351" t="s">
        <v>356</v>
      </c>
      <c r="BB402" s="351"/>
      <c r="BC402" s="156" t="s">
        <v>316</v>
      </c>
      <c r="BD402" s="156"/>
      <c r="BE402" s="156"/>
      <c r="BF402" s="156"/>
      <c r="BG402" s="156" t="s">
        <v>263</v>
      </c>
      <c r="BH402" s="351"/>
    </row>
    <row r="403" spans="1:62" ht="52.5" customHeight="1">
      <c r="A403" s="344">
        <f>SUBTOTAL(3,C$11:$C403)</f>
        <v>286</v>
      </c>
      <c r="B403" s="337" t="s">
        <v>346</v>
      </c>
      <c r="C403" s="338" t="s">
        <v>88</v>
      </c>
      <c r="D403" s="339">
        <v>71.2</v>
      </c>
      <c r="E403" s="339"/>
      <c r="F403" s="339">
        <v>71.2</v>
      </c>
      <c r="G403" s="414">
        <f t="shared" ref="G403:G407" si="58">SUM(M403:AR403)</f>
        <v>71.196957566052845</v>
      </c>
      <c r="H403" s="413" t="s">
        <v>1066</v>
      </c>
      <c r="I403" s="413" t="s">
        <v>1067</v>
      </c>
      <c r="J403" s="413" t="s">
        <v>1056</v>
      </c>
      <c r="K403" s="413" t="str">
        <f t="shared" si="57"/>
        <v xml:space="preserve">LUK, HNK, CLN, NTS, ONT, </v>
      </c>
      <c r="L403" s="413" t="str">
        <f t="shared" ref="L403:L407" si="59">IF(M403="","",$M$5&amp;":"&amp;M403&amp;";")&amp;IF(N403="","",$N$5&amp;":"&amp;N403&amp;";")&amp;IF(O403="","",$O$5&amp;":"&amp;O403&amp;";")&amp;IF(P403="","",$P$5&amp;":"&amp;P403&amp;";")&amp;IF(Q403="","",$Q$5&amp;":"&amp;Q403&amp;";")&amp;IF(R403="","",$R$5&amp;":"&amp;R403&amp;";")&amp;IF(S403="","",$S$5&amp;":"&amp;S403&amp;";")&amp;IF(T403="","",$T$5&amp;":"&amp;T403&amp;";")&amp;IF(U403="","",$U$5&amp;":"&amp;U403&amp;";")&amp;IF(V403="","",$V$5&amp;":"&amp;V403&amp;";")&amp;IF(W403="","",$W$5&amp;":"&amp;W403&amp;";")&amp;IF(X403="","",$X$5&amp;":"&amp;X403&amp;";")&amp;IF(Y403="","",$Y$5&amp;":"&amp;Y403&amp;";")&amp;IF(Z403="","",$Z$5&amp;":"&amp;Z403&amp;";")&amp;IF(AA403="","",$AA$5&amp;":"&amp;AA403&amp;";")&amp;IF(AB403="","",$AB$5&amp;":"&amp;AB403&amp;";")&amp;IF(AC403="","",$AC$5&amp;":"&amp;AC403&amp;";")&amp;IF(AD403="","",$AD$5&amp;":"&amp;AD403&amp;";")&amp;IF(AE403="","",$AE$5&amp;":"&amp;AE403&amp;";")&amp;IF(AF403="","",$AF$5&amp;":"&amp;AF403&amp;";")&amp;IF(AG403="","",$AG$5&amp;":"&amp;AG403&amp;";")&amp;IF(AH403="","",$AH$5&amp;":"&amp;AH403&amp;";")&amp;IF(AI403="","",$AI$5&amp;":"&amp;AI403&amp;";")&amp;IF(AJ403="","",$AJ$5&amp;":"&amp;AJ403&amp;";")&amp;IF(AK403="","",$AK$5&amp;":"&amp;AK403&amp;";")&amp;IF(AL403="","",$AL$5&amp;":"&amp;AL403&amp;";")&amp;IF(AM403="","",$AM$5&amp;":"&amp;AM403&amp;";")&amp;IF(AN403="","",$AN$5&amp;":"&amp;AN403&amp;";")&amp;IF(AO403="","",$AO$5&amp;":"&amp;AO403&amp;";")&amp;IF(AP403="","",$AP$5&amp;":"&amp;AP403&amp;";")&amp;IF(AQ403="","",$AQ$5&amp;":"&amp;AQ403&amp;";")&amp;IF(AR403="","",$AR$5&amp;":"&amp;AR403&amp;";")&amp;IF(AS403="","",$AS$5&amp;":"&amp;AS403&amp;";")&amp;IF(AT403="","",$AT$5&amp;":"&amp;AT403&amp;";")&amp;IF(AU403="","",$AU$5&amp;":"&amp;AU403&amp;";")</f>
        <v>LUK:0,460368294635709;HNK:1,23098478783026;CLN:7,74619695756605;NTS:46,6773418734988;ONT:15,082065652522;</v>
      </c>
      <c r="M403" s="339"/>
      <c r="N403" s="339">
        <f>0.46/99.92%</f>
        <v>0.46036829463570861</v>
      </c>
      <c r="O403" s="339">
        <f>1.23/99.92%</f>
        <v>1.2309847878302642</v>
      </c>
      <c r="P403" s="339">
        <f>7.74/99.92%</f>
        <v>7.7461969575660534</v>
      </c>
      <c r="Q403" s="339">
        <f>46.64/99.92%</f>
        <v>46.677341873498804</v>
      </c>
      <c r="R403" s="339"/>
      <c r="S403" s="339"/>
      <c r="T403" s="339"/>
      <c r="U403" s="339"/>
      <c r="V403" s="339"/>
      <c r="W403" s="339"/>
      <c r="X403" s="339"/>
      <c r="Y403" s="339"/>
      <c r="Z403" s="339"/>
      <c r="AA403" s="339"/>
      <c r="AB403" s="339"/>
      <c r="AC403" s="339"/>
      <c r="AD403" s="339"/>
      <c r="AE403" s="339"/>
      <c r="AF403" s="339"/>
      <c r="AG403" s="339"/>
      <c r="AH403" s="339"/>
      <c r="AI403" s="339"/>
      <c r="AJ403" s="339"/>
      <c r="AK403" s="339"/>
      <c r="AL403" s="339">
        <f>15.07/99.92%</f>
        <v>15.082065652522019</v>
      </c>
      <c r="AM403" s="339"/>
      <c r="AN403" s="339"/>
      <c r="AO403" s="339"/>
      <c r="AP403" s="339"/>
      <c r="AQ403" s="339"/>
      <c r="AR403" s="339"/>
      <c r="AS403" s="339"/>
      <c r="AT403" s="339"/>
      <c r="AU403" s="339"/>
      <c r="AV403" s="338" t="s">
        <v>292</v>
      </c>
      <c r="AW403" s="338" t="s">
        <v>292</v>
      </c>
      <c r="AX403" s="350" t="s">
        <v>332</v>
      </c>
      <c r="AY403" s="356" t="s">
        <v>332</v>
      </c>
      <c r="AZ403" s="352" t="s">
        <v>1068</v>
      </c>
      <c r="BA403" s="350"/>
      <c r="BB403" s="350"/>
      <c r="BC403" s="195" t="s">
        <v>270</v>
      </c>
      <c r="BD403" s="195"/>
      <c r="BE403" s="195"/>
      <c r="BF403" s="195" t="s">
        <v>263</v>
      </c>
      <c r="BG403" s="195"/>
      <c r="BH403" s="350"/>
    </row>
    <row r="404" spans="1:62" ht="63.75" customHeight="1">
      <c r="A404" s="344">
        <f>SUBTOTAL(3,C$11:$C404)</f>
        <v>287</v>
      </c>
      <c r="B404" s="362" t="s">
        <v>347</v>
      </c>
      <c r="C404" s="338" t="s">
        <v>88</v>
      </c>
      <c r="D404" s="351">
        <v>2</v>
      </c>
      <c r="E404" s="351"/>
      <c r="F404" s="351">
        <v>2</v>
      </c>
      <c r="G404" s="414">
        <f t="shared" si="58"/>
        <v>2</v>
      </c>
      <c r="H404" s="413" t="s">
        <v>1072</v>
      </c>
      <c r="I404" s="413" t="s">
        <v>13</v>
      </c>
      <c r="J404" s="413" t="s">
        <v>1073</v>
      </c>
      <c r="K404" s="413" t="str">
        <f t="shared" si="57"/>
        <v xml:space="preserve">CLN, </v>
      </c>
      <c r="L404" s="413" t="str">
        <f t="shared" si="59"/>
        <v>CLN:2;</v>
      </c>
      <c r="M404" s="351"/>
      <c r="N404" s="351"/>
      <c r="O404" s="351"/>
      <c r="P404" s="351">
        <v>2</v>
      </c>
      <c r="Q404" s="351"/>
      <c r="R404" s="351"/>
      <c r="S404" s="351"/>
      <c r="T404" s="351"/>
      <c r="U404" s="351"/>
      <c r="V404" s="351"/>
      <c r="W404" s="351"/>
      <c r="X404" s="351"/>
      <c r="Y404" s="351"/>
      <c r="Z404" s="351"/>
      <c r="AA404" s="351"/>
      <c r="AB404" s="351"/>
      <c r="AC404" s="351"/>
      <c r="AD404" s="351"/>
      <c r="AE404" s="351"/>
      <c r="AF404" s="351"/>
      <c r="AG404" s="351"/>
      <c r="AH404" s="351"/>
      <c r="AI404" s="351"/>
      <c r="AJ404" s="351"/>
      <c r="AK404" s="351"/>
      <c r="AL404" s="351"/>
      <c r="AM404" s="351"/>
      <c r="AN404" s="351"/>
      <c r="AO404" s="351"/>
      <c r="AP404" s="351"/>
      <c r="AQ404" s="351"/>
      <c r="AR404" s="351"/>
      <c r="AS404" s="351"/>
      <c r="AT404" s="351"/>
      <c r="AU404" s="351"/>
      <c r="AV404" s="351" t="s">
        <v>258</v>
      </c>
      <c r="AW404" s="351" t="s">
        <v>258</v>
      </c>
      <c r="AX404" s="432" t="s">
        <v>348</v>
      </c>
      <c r="AY404" s="433" t="s">
        <v>348</v>
      </c>
      <c r="AZ404" s="434" t="s">
        <v>1074</v>
      </c>
      <c r="BA404" s="432"/>
      <c r="BB404" s="432"/>
      <c r="BC404" s="478" t="s">
        <v>267</v>
      </c>
      <c r="BD404" s="478"/>
      <c r="BE404" s="478"/>
      <c r="BF404" s="478" t="s">
        <v>263</v>
      </c>
      <c r="BG404" s="478"/>
      <c r="BH404" s="432"/>
    </row>
    <row r="405" spans="1:62" ht="63.75" customHeight="1">
      <c r="A405" s="344">
        <f>SUBTOTAL(3,C$11:$C405)</f>
        <v>288</v>
      </c>
      <c r="B405" s="362" t="s">
        <v>349</v>
      </c>
      <c r="C405" s="338" t="s">
        <v>88</v>
      </c>
      <c r="D405" s="351">
        <v>1.4</v>
      </c>
      <c r="E405" s="351"/>
      <c r="F405" s="351">
        <v>1.4</v>
      </c>
      <c r="G405" s="414">
        <f t="shared" si="58"/>
        <v>1.4</v>
      </c>
      <c r="H405" s="413" t="s">
        <v>5</v>
      </c>
      <c r="I405" s="413" t="s">
        <v>7</v>
      </c>
      <c r="J405" s="413"/>
      <c r="K405" s="413" t="str">
        <f t="shared" si="57"/>
        <v xml:space="preserve">LUC, </v>
      </c>
      <c r="L405" s="413" t="str">
        <f t="shared" si="59"/>
        <v>LUC:1,4;</v>
      </c>
      <c r="M405" s="351">
        <v>1.4</v>
      </c>
      <c r="N405" s="351"/>
      <c r="O405" s="351"/>
      <c r="P405" s="351"/>
      <c r="Q405" s="351"/>
      <c r="R405" s="351"/>
      <c r="S405" s="351"/>
      <c r="T405" s="351"/>
      <c r="U405" s="351"/>
      <c r="V405" s="351"/>
      <c r="W405" s="351"/>
      <c r="X405" s="351"/>
      <c r="Y405" s="351"/>
      <c r="Z405" s="351"/>
      <c r="AA405" s="351"/>
      <c r="AB405" s="351"/>
      <c r="AC405" s="351"/>
      <c r="AD405" s="351"/>
      <c r="AE405" s="351"/>
      <c r="AF405" s="351"/>
      <c r="AG405" s="351"/>
      <c r="AH405" s="351"/>
      <c r="AI405" s="351"/>
      <c r="AJ405" s="351"/>
      <c r="AK405" s="351"/>
      <c r="AL405" s="351"/>
      <c r="AM405" s="351"/>
      <c r="AN405" s="351"/>
      <c r="AO405" s="351"/>
      <c r="AP405" s="351"/>
      <c r="AQ405" s="351"/>
      <c r="AR405" s="351"/>
      <c r="AS405" s="351"/>
      <c r="AT405" s="351"/>
      <c r="AU405" s="351"/>
      <c r="AV405" s="351" t="s">
        <v>258</v>
      </c>
      <c r="AW405" s="351" t="s">
        <v>258</v>
      </c>
      <c r="AX405" s="432" t="s">
        <v>350</v>
      </c>
      <c r="AY405" s="433" t="s">
        <v>350</v>
      </c>
      <c r="AZ405" s="434" t="s">
        <v>1075</v>
      </c>
      <c r="BA405" s="432"/>
      <c r="BB405" s="432"/>
      <c r="BC405" s="478" t="s">
        <v>316</v>
      </c>
      <c r="BD405" s="478"/>
      <c r="BE405" s="478"/>
      <c r="BF405" s="478" t="s">
        <v>263</v>
      </c>
      <c r="BG405" s="478"/>
      <c r="BH405" s="432"/>
    </row>
    <row r="406" spans="1:62" ht="42" customHeight="1">
      <c r="A406" s="344">
        <f>SUBTOTAL(3,C$11:$C406)</f>
        <v>289</v>
      </c>
      <c r="B406" s="362" t="s">
        <v>351</v>
      </c>
      <c r="C406" s="338" t="s">
        <v>88</v>
      </c>
      <c r="D406" s="351">
        <v>10</v>
      </c>
      <c r="E406" s="351">
        <v>2.95</v>
      </c>
      <c r="F406" s="351">
        <f>D406-E406</f>
        <v>7.05</v>
      </c>
      <c r="G406" s="414">
        <f t="shared" si="58"/>
        <v>3.7601559999999994</v>
      </c>
      <c r="H406" s="413" t="s">
        <v>1037</v>
      </c>
      <c r="I406" s="413" t="s">
        <v>1076</v>
      </c>
      <c r="J406" s="413" t="s">
        <v>1037</v>
      </c>
      <c r="K406" s="413" t="str">
        <f t="shared" si="57"/>
        <v xml:space="preserve">CLN, NTS, ONT, </v>
      </c>
      <c r="L406" s="413" t="str">
        <f t="shared" si="59"/>
        <v>CLN:0,2663;NTS:2,748216;ONT:0,74564;</v>
      </c>
      <c r="M406" s="351"/>
      <c r="N406" s="351"/>
      <c r="O406" s="351"/>
      <c r="P406" s="351">
        <f>0.5*53.26%</f>
        <v>0.26629999999999998</v>
      </c>
      <c r="Q406" s="351">
        <f>5.16*53.26%</f>
        <v>2.7482159999999998</v>
      </c>
      <c r="R406" s="351"/>
      <c r="S406" s="351"/>
      <c r="T406" s="351"/>
      <c r="U406" s="351"/>
      <c r="V406" s="351"/>
      <c r="W406" s="351"/>
      <c r="X406" s="351"/>
      <c r="Y406" s="351"/>
      <c r="Z406" s="351"/>
      <c r="AA406" s="351"/>
      <c r="AB406" s="351"/>
      <c r="AC406" s="351"/>
      <c r="AD406" s="351"/>
      <c r="AE406" s="351"/>
      <c r="AF406" s="351"/>
      <c r="AG406" s="351"/>
      <c r="AH406" s="351"/>
      <c r="AI406" s="351"/>
      <c r="AJ406" s="351"/>
      <c r="AK406" s="351"/>
      <c r="AL406" s="351">
        <f>1.4*53.26%</f>
        <v>0.74563999999999986</v>
      </c>
      <c r="AM406" s="351"/>
      <c r="AN406" s="351"/>
      <c r="AO406" s="351"/>
      <c r="AP406" s="351"/>
      <c r="AQ406" s="351"/>
      <c r="AR406" s="351"/>
      <c r="AS406" s="351"/>
      <c r="AT406" s="351"/>
      <c r="AU406" s="351"/>
      <c r="AV406" s="351" t="s">
        <v>266</v>
      </c>
      <c r="AW406" s="351" t="s">
        <v>266</v>
      </c>
      <c r="AX406" s="432" t="s">
        <v>1033</v>
      </c>
      <c r="AY406" s="433" t="s">
        <v>1033</v>
      </c>
      <c r="AZ406" s="434" t="s">
        <v>1077</v>
      </c>
      <c r="BA406" s="432" t="s">
        <v>1078</v>
      </c>
      <c r="BB406" s="432"/>
      <c r="BC406" s="478" t="s">
        <v>316</v>
      </c>
      <c r="BD406" s="478"/>
      <c r="BE406" s="478"/>
      <c r="BF406" s="478"/>
      <c r="BG406" s="478" t="s">
        <v>263</v>
      </c>
      <c r="BH406" s="432"/>
    </row>
    <row r="407" spans="1:62" ht="42" customHeight="1">
      <c r="A407" s="344">
        <f>SUBTOTAL(3,C$11:$C407)</f>
        <v>290</v>
      </c>
      <c r="B407" s="362" t="s">
        <v>352</v>
      </c>
      <c r="C407" s="338" t="s">
        <v>88</v>
      </c>
      <c r="D407" s="351">
        <v>0.38</v>
      </c>
      <c r="E407" s="351"/>
      <c r="F407" s="351">
        <v>0.38</v>
      </c>
      <c r="G407" s="414">
        <f t="shared" si="58"/>
        <v>0.38</v>
      </c>
      <c r="H407" s="413" t="s">
        <v>5</v>
      </c>
      <c r="I407" s="413" t="s">
        <v>7</v>
      </c>
      <c r="J407" s="413"/>
      <c r="K407" s="413" t="str">
        <f t="shared" si="57"/>
        <v xml:space="preserve">LUC, </v>
      </c>
      <c r="L407" s="413" t="str">
        <f t="shared" si="59"/>
        <v>LUC:0,38;</v>
      </c>
      <c r="M407" s="351">
        <v>0.38</v>
      </c>
      <c r="N407" s="351"/>
      <c r="O407" s="351"/>
      <c r="P407" s="351"/>
      <c r="Q407" s="351"/>
      <c r="R407" s="351"/>
      <c r="S407" s="351"/>
      <c r="T407" s="351"/>
      <c r="U407" s="351"/>
      <c r="V407" s="351"/>
      <c r="W407" s="351"/>
      <c r="X407" s="351"/>
      <c r="Y407" s="351"/>
      <c r="Z407" s="351"/>
      <c r="AA407" s="351"/>
      <c r="AB407" s="351"/>
      <c r="AC407" s="351"/>
      <c r="AD407" s="351"/>
      <c r="AE407" s="351"/>
      <c r="AF407" s="351"/>
      <c r="AG407" s="351"/>
      <c r="AH407" s="351"/>
      <c r="AI407" s="351"/>
      <c r="AJ407" s="351"/>
      <c r="AK407" s="351"/>
      <c r="AL407" s="351"/>
      <c r="AM407" s="351"/>
      <c r="AN407" s="351"/>
      <c r="AO407" s="351"/>
      <c r="AP407" s="351"/>
      <c r="AQ407" s="351"/>
      <c r="AR407" s="351"/>
      <c r="AS407" s="351"/>
      <c r="AT407" s="351"/>
      <c r="AU407" s="351"/>
      <c r="AV407" s="338" t="s">
        <v>309</v>
      </c>
      <c r="AW407" s="338" t="s">
        <v>309</v>
      </c>
      <c r="AX407" s="432" t="s">
        <v>353</v>
      </c>
      <c r="AY407" s="433" t="s">
        <v>353</v>
      </c>
      <c r="AZ407" s="434" t="s">
        <v>1079</v>
      </c>
      <c r="BA407" s="432"/>
      <c r="BB407" s="432"/>
      <c r="BC407" s="478" t="s">
        <v>316</v>
      </c>
      <c r="BD407" s="478"/>
      <c r="BE407" s="478"/>
      <c r="BF407" s="478" t="s">
        <v>263</v>
      </c>
      <c r="BG407" s="478"/>
      <c r="BH407" s="432"/>
    </row>
    <row r="408" spans="1:62" s="183" customFormat="1" ht="29.25" customHeight="1">
      <c r="A408" s="167"/>
      <c r="B408" s="168" t="s">
        <v>1758</v>
      </c>
      <c r="C408" s="164"/>
      <c r="D408" s="169"/>
      <c r="E408" s="169"/>
      <c r="F408" s="169"/>
      <c r="G408" s="441"/>
      <c r="H408" s="442"/>
      <c r="I408" s="442"/>
      <c r="J408" s="442"/>
      <c r="K408" s="442"/>
      <c r="L408" s="442"/>
      <c r="M408" s="169"/>
      <c r="N408" s="169"/>
      <c r="O408" s="169"/>
      <c r="P408" s="169"/>
      <c r="Q408" s="169"/>
      <c r="R408" s="169"/>
      <c r="S408" s="169"/>
      <c r="T408" s="169"/>
      <c r="U408" s="169"/>
      <c r="V408" s="169"/>
      <c r="W408" s="169"/>
      <c r="X408" s="169"/>
      <c r="Y408" s="169"/>
      <c r="Z408" s="169"/>
      <c r="AA408" s="169"/>
      <c r="AB408" s="169"/>
      <c r="AC408" s="169"/>
      <c r="AD408" s="169"/>
      <c r="AE408" s="169"/>
      <c r="AF408" s="169"/>
      <c r="AG408" s="169"/>
      <c r="AH408" s="169"/>
      <c r="AI408" s="169"/>
      <c r="AJ408" s="169"/>
      <c r="AK408" s="169"/>
      <c r="AL408" s="169"/>
      <c r="AM408" s="169"/>
      <c r="AN408" s="169"/>
      <c r="AO408" s="169"/>
      <c r="AP408" s="169"/>
      <c r="AQ408" s="169"/>
      <c r="AR408" s="169"/>
      <c r="AS408" s="169"/>
      <c r="AT408" s="169"/>
      <c r="AU408" s="169"/>
      <c r="AV408" s="169"/>
      <c r="AW408" s="169"/>
      <c r="AX408" s="169"/>
      <c r="AY408" s="263"/>
      <c r="AZ408" s="165"/>
      <c r="BA408" s="169"/>
      <c r="BB408" s="169"/>
      <c r="BC408" s="165"/>
      <c r="BD408" s="165"/>
      <c r="BE408" s="165"/>
      <c r="BF408" s="165"/>
      <c r="BG408" s="165"/>
      <c r="BH408" s="169"/>
      <c r="BI408" s="412"/>
      <c r="BJ408" s="443"/>
    </row>
    <row r="409" spans="1:62" ht="42" customHeight="1">
      <c r="A409" s="611">
        <f>SUBTOTAL(3,C$11:$C409)</f>
        <v>291</v>
      </c>
      <c r="B409" s="635" t="s">
        <v>359</v>
      </c>
      <c r="C409" s="614" t="s">
        <v>88</v>
      </c>
      <c r="D409" s="339">
        <v>0.45</v>
      </c>
      <c r="E409" s="612"/>
      <c r="F409" s="339">
        <v>0.45</v>
      </c>
      <c r="G409" s="414"/>
      <c r="H409" s="413" t="s">
        <v>5</v>
      </c>
      <c r="I409" s="413"/>
      <c r="J409" s="413"/>
      <c r="K409" s="413"/>
      <c r="L409" s="413"/>
      <c r="M409" s="339"/>
      <c r="N409" s="339"/>
      <c r="O409" s="339"/>
      <c r="P409" s="339"/>
      <c r="Q409" s="339"/>
      <c r="R409" s="339"/>
      <c r="S409" s="339"/>
      <c r="T409" s="339"/>
      <c r="U409" s="339"/>
      <c r="V409" s="339"/>
      <c r="W409" s="339"/>
      <c r="X409" s="339"/>
      <c r="Y409" s="339"/>
      <c r="Z409" s="339"/>
      <c r="AA409" s="339"/>
      <c r="AB409" s="339"/>
      <c r="AC409" s="339"/>
      <c r="AD409" s="339"/>
      <c r="AE409" s="339"/>
      <c r="AF409" s="339"/>
      <c r="AG409" s="339"/>
      <c r="AH409" s="339"/>
      <c r="AI409" s="339"/>
      <c r="AJ409" s="339"/>
      <c r="AK409" s="339"/>
      <c r="AL409" s="339"/>
      <c r="AM409" s="339"/>
      <c r="AN409" s="339"/>
      <c r="AO409" s="339"/>
      <c r="AP409" s="339"/>
      <c r="AQ409" s="339"/>
      <c r="AR409" s="339"/>
      <c r="AS409" s="339"/>
      <c r="AT409" s="339"/>
      <c r="AU409" s="339"/>
      <c r="AV409" s="338" t="s">
        <v>1080</v>
      </c>
      <c r="AW409" s="338"/>
      <c r="AX409" s="350" t="s">
        <v>1081</v>
      </c>
      <c r="AY409" s="356"/>
      <c r="AZ409" s="352"/>
      <c r="BA409" s="350"/>
      <c r="BB409" s="350"/>
      <c r="BC409" s="184"/>
      <c r="BD409" s="184"/>
      <c r="BE409" s="184"/>
      <c r="BF409" s="184"/>
      <c r="BG409" s="184"/>
      <c r="BH409" s="350"/>
    </row>
    <row r="410" spans="1:62" ht="35.15" customHeight="1">
      <c r="A410" s="611"/>
      <c r="B410" s="635"/>
      <c r="C410" s="614"/>
      <c r="D410" s="339">
        <v>0.05</v>
      </c>
      <c r="E410" s="612"/>
      <c r="F410" s="339">
        <v>0.05</v>
      </c>
      <c r="G410" s="414">
        <f>SUM(M410:AR410)</f>
        <v>0.05</v>
      </c>
      <c r="H410" s="413" t="s">
        <v>5</v>
      </c>
      <c r="I410" s="413" t="s">
        <v>7</v>
      </c>
      <c r="J410" s="413"/>
      <c r="K410" s="413" t="str">
        <f>IF(M410&lt;&gt;0,$M$5&amp;", ","")&amp;IF(N410&lt;&gt;0,$N$5&amp;", ","")&amp;IF(O410&lt;&gt;0,O$5&amp;", ","")&amp;IF(P410&lt;&gt;0,P$5&amp;", ","")&amp;IF(Q410&lt;&gt;0,Q$5&amp;", ","")&amp;IF(R410&lt;&gt;0,R$5&amp;", ","")&amp;IF(S410&lt;&gt;0,S$5&amp;", ","")&amp;IF(T410&lt;&gt;0,T$5&amp;", ","")&amp;IF(U410&lt;&gt;0,U$5&amp;", ","")&amp;IF(V410&lt;&gt;0,V$5&amp;", ","")&amp;IF(W410&lt;&gt;0,W$5&amp;", ","")&amp;IF(X410&lt;&gt;0,X$5&amp;", ","")&amp;IF(Y410&lt;&gt;0,Y$5&amp;", ","")&amp;IF(Z410&lt;&gt;0,Z$5&amp;", ","")&amp;IF(AA410&lt;&gt;0,AA$5&amp;", ","")&amp;IF(AB410&lt;&gt;0,AB$5&amp;", ","")&amp;IF(AC410&lt;&gt;0,AC$5&amp;", ","")&amp;IF(AD410&lt;&gt;0,AD$5&amp;", ","")&amp;IF(AE410&lt;&gt;0,AE$5&amp;", ","")&amp;IF(AF410&lt;&gt;0,AF$5&amp;", ","")&amp;IF(AG410&lt;&gt;0,AG$5&amp;", ","")&amp;IF(AH410&lt;&gt;0,AH$5&amp;", ","")&amp;IF(AI410&lt;&gt;0,AI$5&amp;", ","")&amp;IF(AJ410&lt;&gt;0,AJ$5&amp;", ","")&amp;IF(AK410&lt;&gt;0,AK$5&amp;", ","")&amp;IF(AL410&lt;&gt;0,AL$5&amp;", ","")&amp;IF(AM410&lt;&gt;0,AM$5&amp;", ","")&amp;IF(AN410&lt;&gt;0,AN$5&amp;", ","")&amp;IF(AO410&lt;&gt;0,AO$5&amp;", ","")&amp;IF(AP410&lt;&gt;0,AP$5&amp;", ","")&amp;IF(AQ410&lt;&gt;0,AQ$5&amp;", ","")&amp;IF(AR410&lt;&gt;0,AR$5,"")&amp;IF(AS410&lt;&gt;0,AS$5,"")&amp;IF(AT410&lt;&gt;0,AT$5,"")&amp;IF(AU410&lt;&gt;0,AU$5,"")</f>
        <v xml:space="preserve">LUC, </v>
      </c>
      <c r="L410" s="413" t="str">
        <f>IF(M410="","",$M$5&amp;":"&amp;M410&amp;";")&amp;IF(N410="","",$N$5&amp;":"&amp;N410&amp;";")&amp;IF(O410="","",$O$5&amp;":"&amp;O410&amp;";")&amp;IF(P410="","",$P$5&amp;":"&amp;P410&amp;";")&amp;IF(Q410="","",$Q$5&amp;":"&amp;Q410&amp;";")&amp;IF(R410="","",$R$5&amp;":"&amp;R410&amp;";")&amp;IF(S410="","",$S$5&amp;":"&amp;S410&amp;";")&amp;IF(T410="","",$T$5&amp;":"&amp;T410&amp;";")&amp;IF(U410="","",$U$5&amp;":"&amp;U410&amp;";")&amp;IF(V410="","",$V$5&amp;":"&amp;V410&amp;";")&amp;IF(W410="","",$W$5&amp;":"&amp;W410&amp;";")&amp;IF(X410="","",$X$5&amp;":"&amp;X410&amp;";")&amp;IF(Y410="","",$Y$5&amp;":"&amp;Y410&amp;";")&amp;IF(Z410="","",$Z$5&amp;":"&amp;Z410&amp;";")&amp;IF(AA410="","",$AA$5&amp;":"&amp;AA410&amp;";")&amp;IF(AB410="","",$AB$5&amp;":"&amp;AB410&amp;";")&amp;IF(AC410="","",$AC$5&amp;":"&amp;AC410&amp;";")&amp;IF(AD410="","",$AD$5&amp;":"&amp;AD410&amp;";")&amp;IF(AE410="","",$AE$5&amp;":"&amp;AE410&amp;";")&amp;IF(AF410="","",$AF$5&amp;":"&amp;AF410&amp;";")&amp;IF(AG410="","",$AG$5&amp;":"&amp;AG410&amp;";")&amp;IF(AH410="","",$AH$5&amp;":"&amp;AH410&amp;";")&amp;IF(AI410="","",$AI$5&amp;":"&amp;AI410&amp;";")&amp;IF(AJ410="","",$AJ$5&amp;":"&amp;AJ410&amp;";")&amp;IF(AK410="","",$AK$5&amp;":"&amp;AK410&amp;";")&amp;IF(AL410="","",$AL$5&amp;":"&amp;AL410&amp;";")&amp;IF(AM410="","",$AM$5&amp;":"&amp;AM410&amp;";")&amp;IF(AN410="","",$AN$5&amp;":"&amp;AN410&amp;";")&amp;IF(AO410="","",$AO$5&amp;":"&amp;AO410&amp;";")&amp;IF(AP410="","",$AP$5&amp;":"&amp;AP410&amp;";")&amp;IF(AQ410="","",$AQ$5&amp;":"&amp;AQ410&amp;";")&amp;IF(AR410="","",$AR$5&amp;":"&amp;AR410&amp;";")&amp;IF(AS410="","",$AS$5&amp;":"&amp;AS410&amp;";")&amp;IF(AT410="","",$AT$5&amp;":"&amp;AT410&amp;";")&amp;IF(AU410="","",$AU$5&amp;":"&amp;AU410&amp;";")</f>
        <v>LUC:0,05;</v>
      </c>
      <c r="M410" s="339">
        <v>0.05</v>
      </c>
      <c r="N410" s="339"/>
      <c r="O410" s="339"/>
      <c r="P410" s="339"/>
      <c r="Q410" s="339"/>
      <c r="R410" s="339"/>
      <c r="S410" s="339"/>
      <c r="T410" s="339"/>
      <c r="U410" s="339"/>
      <c r="V410" s="339"/>
      <c r="W410" s="339"/>
      <c r="X410" s="339"/>
      <c r="Y410" s="339"/>
      <c r="Z410" s="339"/>
      <c r="AA410" s="339"/>
      <c r="AB410" s="339"/>
      <c r="AC410" s="339"/>
      <c r="AD410" s="339"/>
      <c r="AE410" s="339"/>
      <c r="AF410" s="339"/>
      <c r="AG410" s="339"/>
      <c r="AH410" s="339"/>
      <c r="AI410" s="339"/>
      <c r="AJ410" s="339"/>
      <c r="AK410" s="339"/>
      <c r="AL410" s="339"/>
      <c r="AM410" s="339"/>
      <c r="AN410" s="339"/>
      <c r="AO410" s="339"/>
      <c r="AP410" s="339"/>
      <c r="AQ410" s="339"/>
      <c r="AR410" s="339"/>
      <c r="AS410" s="339"/>
      <c r="AT410" s="339"/>
      <c r="AU410" s="339"/>
      <c r="AV410" s="338" t="s">
        <v>289</v>
      </c>
      <c r="AW410" s="338" t="s">
        <v>289</v>
      </c>
      <c r="AX410" s="350" t="s">
        <v>360</v>
      </c>
      <c r="AY410" s="356" t="s">
        <v>360</v>
      </c>
      <c r="AZ410" s="352" t="s">
        <v>1082</v>
      </c>
      <c r="BA410" s="350" t="s">
        <v>357</v>
      </c>
      <c r="BB410" s="350"/>
      <c r="BC410" s="184"/>
      <c r="BD410" s="184"/>
      <c r="BE410" s="184"/>
      <c r="BF410" s="184"/>
      <c r="BG410" s="184"/>
      <c r="BH410" s="350"/>
    </row>
    <row r="411" spans="1:62" ht="35.15" customHeight="1">
      <c r="A411" s="611"/>
      <c r="B411" s="635"/>
      <c r="C411" s="614"/>
      <c r="D411" s="339">
        <v>0.4</v>
      </c>
      <c r="E411" s="612"/>
      <c r="F411" s="339">
        <v>0.4</v>
      </c>
      <c r="G411" s="414">
        <f>SUM(M411:AR411)</f>
        <v>0.4</v>
      </c>
      <c r="H411" s="413" t="s">
        <v>5</v>
      </c>
      <c r="I411" s="413" t="s">
        <v>7</v>
      </c>
      <c r="J411" s="413"/>
      <c r="K411" s="413" t="str">
        <f>IF(M411&lt;&gt;0,$M$5&amp;", ","")&amp;IF(N411&lt;&gt;0,$N$5&amp;", ","")&amp;IF(O411&lt;&gt;0,O$5&amp;", ","")&amp;IF(P411&lt;&gt;0,P$5&amp;", ","")&amp;IF(Q411&lt;&gt;0,Q$5&amp;", ","")&amp;IF(R411&lt;&gt;0,R$5&amp;", ","")&amp;IF(S411&lt;&gt;0,S$5&amp;", ","")&amp;IF(T411&lt;&gt;0,T$5&amp;", ","")&amp;IF(U411&lt;&gt;0,U$5&amp;", ","")&amp;IF(V411&lt;&gt;0,V$5&amp;", ","")&amp;IF(W411&lt;&gt;0,W$5&amp;", ","")&amp;IF(X411&lt;&gt;0,X$5&amp;", ","")&amp;IF(Y411&lt;&gt;0,Y$5&amp;", ","")&amp;IF(Z411&lt;&gt;0,Z$5&amp;", ","")&amp;IF(AA411&lt;&gt;0,AA$5&amp;", ","")&amp;IF(AB411&lt;&gt;0,AB$5&amp;", ","")&amp;IF(AC411&lt;&gt;0,AC$5&amp;", ","")&amp;IF(AD411&lt;&gt;0,AD$5&amp;", ","")&amp;IF(AE411&lt;&gt;0,AE$5&amp;", ","")&amp;IF(AF411&lt;&gt;0,AF$5&amp;", ","")&amp;IF(AG411&lt;&gt;0,AG$5&amp;", ","")&amp;IF(AH411&lt;&gt;0,AH$5&amp;", ","")&amp;IF(AI411&lt;&gt;0,AI$5&amp;", ","")&amp;IF(AJ411&lt;&gt;0,AJ$5&amp;", ","")&amp;IF(AK411&lt;&gt;0,AK$5&amp;", ","")&amp;IF(AL411&lt;&gt;0,AL$5&amp;", ","")&amp;IF(AM411&lt;&gt;0,AM$5&amp;", ","")&amp;IF(AN411&lt;&gt;0,AN$5&amp;", ","")&amp;IF(AO411&lt;&gt;0,AO$5&amp;", ","")&amp;IF(AP411&lt;&gt;0,AP$5&amp;", ","")&amp;IF(AQ411&lt;&gt;0,AQ$5&amp;", ","")&amp;IF(AR411&lt;&gt;0,AR$5,"")&amp;IF(AS411&lt;&gt;0,AS$5,"")&amp;IF(AT411&lt;&gt;0,AT$5,"")&amp;IF(AU411&lt;&gt;0,AU$5,"")</f>
        <v xml:space="preserve">LUC, </v>
      </c>
      <c r="L411" s="413" t="str">
        <f>IF(M411="","",$M$5&amp;":"&amp;M411&amp;";")&amp;IF(N411="","",$N$5&amp;":"&amp;N411&amp;";")&amp;IF(O411="","",$O$5&amp;":"&amp;O411&amp;";")&amp;IF(P411="","",$P$5&amp;":"&amp;P411&amp;";")&amp;IF(Q411="","",$Q$5&amp;":"&amp;Q411&amp;";")&amp;IF(R411="","",$R$5&amp;":"&amp;R411&amp;";")&amp;IF(S411="","",$S$5&amp;":"&amp;S411&amp;";")&amp;IF(T411="","",$T$5&amp;":"&amp;T411&amp;";")&amp;IF(U411="","",$U$5&amp;":"&amp;U411&amp;";")&amp;IF(V411="","",$V$5&amp;":"&amp;V411&amp;";")&amp;IF(W411="","",$W$5&amp;":"&amp;W411&amp;";")&amp;IF(X411="","",$X$5&amp;":"&amp;X411&amp;";")&amp;IF(Y411="","",$Y$5&amp;":"&amp;Y411&amp;";")&amp;IF(Z411="","",$Z$5&amp;":"&amp;Z411&amp;";")&amp;IF(AA411="","",$AA$5&amp;":"&amp;AA411&amp;";")&amp;IF(AB411="","",$AB$5&amp;":"&amp;AB411&amp;";")&amp;IF(AC411="","",$AC$5&amp;":"&amp;AC411&amp;";")&amp;IF(AD411="","",$AD$5&amp;":"&amp;AD411&amp;";")&amp;IF(AE411="","",$AE$5&amp;":"&amp;AE411&amp;";")&amp;IF(AF411="","",$AF$5&amp;":"&amp;AF411&amp;";")&amp;IF(AG411="","",$AG$5&amp;":"&amp;AG411&amp;";")&amp;IF(AH411="","",$AH$5&amp;":"&amp;AH411&amp;";")&amp;IF(AI411="","",$AI$5&amp;":"&amp;AI411&amp;";")&amp;IF(AJ411="","",$AJ$5&amp;":"&amp;AJ411&amp;";")&amp;IF(AK411="","",$AK$5&amp;":"&amp;AK411&amp;";")&amp;IF(AL411="","",$AL$5&amp;":"&amp;AL411&amp;";")&amp;IF(AM411="","",$AM$5&amp;":"&amp;AM411&amp;";")&amp;IF(AN411="","",$AN$5&amp;":"&amp;AN411&amp;";")&amp;IF(AO411="","",$AO$5&amp;":"&amp;AO411&amp;";")&amp;IF(AP411="","",$AP$5&amp;":"&amp;AP411&amp;";")&amp;IF(AQ411="","",$AQ$5&amp;":"&amp;AQ411&amp;";")&amp;IF(AR411="","",$AR$5&amp;":"&amp;AR411&amp;";")&amp;IF(AS411="","",$AS$5&amp;":"&amp;AS411&amp;";")&amp;IF(AT411="","",$AT$5&amp;":"&amp;AT411&amp;";")&amp;IF(AU411="","",$AU$5&amp;":"&amp;AU411&amp;";")</f>
        <v>LUC:0,4;</v>
      </c>
      <c r="M411" s="339">
        <v>0.4</v>
      </c>
      <c r="N411" s="339"/>
      <c r="O411" s="339"/>
      <c r="P411" s="339"/>
      <c r="Q411" s="339"/>
      <c r="R411" s="339"/>
      <c r="S411" s="339"/>
      <c r="T411" s="339"/>
      <c r="U411" s="339"/>
      <c r="V411" s="339"/>
      <c r="W411" s="339"/>
      <c r="X411" s="339"/>
      <c r="Y411" s="339"/>
      <c r="Z411" s="339"/>
      <c r="AA411" s="339"/>
      <c r="AB411" s="339"/>
      <c r="AC411" s="339"/>
      <c r="AD411" s="339"/>
      <c r="AE411" s="339"/>
      <c r="AF411" s="339"/>
      <c r="AG411" s="339"/>
      <c r="AH411" s="339"/>
      <c r="AI411" s="339"/>
      <c r="AJ411" s="339"/>
      <c r="AK411" s="339"/>
      <c r="AL411" s="339"/>
      <c r="AM411" s="339"/>
      <c r="AN411" s="339"/>
      <c r="AO411" s="339"/>
      <c r="AP411" s="339"/>
      <c r="AQ411" s="339"/>
      <c r="AR411" s="339"/>
      <c r="AS411" s="339"/>
      <c r="AT411" s="339"/>
      <c r="AU411" s="339"/>
      <c r="AV411" s="338" t="s">
        <v>283</v>
      </c>
      <c r="AW411" s="338" t="s">
        <v>283</v>
      </c>
      <c r="AX411" s="350" t="s">
        <v>361</v>
      </c>
      <c r="AY411" s="356" t="s">
        <v>361</v>
      </c>
      <c r="AZ411" s="352" t="s">
        <v>1082</v>
      </c>
      <c r="BA411" s="350" t="s">
        <v>357</v>
      </c>
      <c r="BB411" s="350"/>
      <c r="BC411" s="184"/>
      <c r="BD411" s="184"/>
      <c r="BE411" s="184"/>
      <c r="BF411" s="184"/>
      <c r="BG411" s="184"/>
      <c r="BH411" s="350"/>
    </row>
    <row r="412" spans="1:62" ht="42" customHeight="1">
      <c r="A412" s="344">
        <f>SUBTOTAL(3,C$11:$C412)</f>
        <v>292</v>
      </c>
      <c r="B412" s="363" t="s">
        <v>362</v>
      </c>
      <c r="C412" s="338" t="s">
        <v>88</v>
      </c>
      <c r="D412" s="339">
        <v>0.4</v>
      </c>
      <c r="E412" s="339"/>
      <c r="F412" s="339">
        <v>0.4</v>
      </c>
      <c r="G412" s="414">
        <f>SUM(M412:AR412)</f>
        <v>0.4</v>
      </c>
      <c r="H412" s="413" t="s">
        <v>5</v>
      </c>
      <c r="I412" s="413" t="s">
        <v>7</v>
      </c>
      <c r="J412" s="413"/>
      <c r="K412" s="413" t="str">
        <f>IF(M412&lt;&gt;0,$M$5&amp;", ","")&amp;IF(N412&lt;&gt;0,$N$5&amp;", ","")&amp;IF(O412&lt;&gt;0,O$5&amp;", ","")&amp;IF(P412&lt;&gt;0,P$5&amp;", ","")&amp;IF(Q412&lt;&gt;0,Q$5&amp;", ","")&amp;IF(R412&lt;&gt;0,R$5&amp;", ","")&amp;IF(S412&lt;&gt;0,S$5&amp;", ","")&amp;IF(T412&lt;&gt;0,T$5&amp;", ","")&amp;IF(U412&lt;&gt;0,U$5&amp;", ","")&amp;IF(V412&lt;&gt;0,V$5&amp;", ","")&amp;IF(W412&lt;&gt;0,W$5&amp;", ","")&amp;IF(X412&lt;&gt;0,X$5&amp;", ","")&amp;IF(Y412&lt;&gt;0,Y$5&amp;", ","")&amp;IF(Z412&lt;&gt;0,Z$5&amp;", ","")&amp;IF(AA412&lt;&gt;0,AA$5&amp;", ","")&amp;IF(AB412&lt;&gt;0,AB$5&amp;", ","")&amp;IF(AC412&lt;&gt;0,AC$5&amp;", ","")&amp;IF(AD412&lt;&gt;0,AD$5&amp;", ","")&amp;IF(AE412&lt;&gt;0,AE$5&amp;", ","")&amp;IF(AF412&lt;&gt;0,AF$5&amp;", ","")&amp;IF(AG412&lt;&gt;0,AG$5&amp;", ","")&amp;IF(AH412&lt;&gt;0,AH$5&amp;", ","")&amp;IF(AI412&lt;&gt;0,AI$5&amp;", ","")&amp;IF(AJ412&lt;&gt;0,AJ$5&amp;", ","")&amp;IF(AK412&lt;&gt;0,AK$5&amp;", ","")&amp;IF(AL412&lt;&gt;0,AL$5&amp;", ","")&amp;IF(AM412&lt;&gt;0,AM$5&amp;", ","")&amp;IF(AN412&lt;&gt;0,AN$5&amp;", ","")&amp;IF(AO412&lt;&gt;0,AO$5&amp;", ","")&amp;IF(AP412&lt;&gt;0,AP$5&amp;", ","")&amp;IF(AQ412&lt;&gt;0,AQ$5&amp;", ","")&amp;IF(AR412&lt;&gt;0,AR$5,"")&amp;IF(AS412&lt;&gt;0,AS$5,"")&amp;IF(AT412&lt;&gt;0,AT$5,"")&amp;IF(AU412&lt;&gt;0,AU$5,"")</f>
        <v xml:space="preserve">LUC, </v>
      </c>
      <c r="L412" s="413" t="str">
        <f>IF(M412="","",$M$5&amp;":"&amp;M412&amp;";")&amp;IF(N412="","",$N$5&amp;":"&amp;N412&amp;";")&amp;IF(O412="","",$O$5&amp;":"&amp;O412&amp;";")&amp;IF(P412="","",$P$5&amp;":"&amp;P412&amp;";")&amp;IF(Q412="","",$Q$5&amp;":"&amp;Q412&amp;";")&amp;IF(R412="","",$R$5&amp;":"&amp;R412&amp;";")&amp;IF(S412="","",$S$5&amp;":"&amp;S412&amp;";")&amp;IF(T412="","",$T$5&amp;":"&amp;T412&amp;";")&amp;IF(U412="","",$U$5&amp;":"&amp;U412&amp;";")&amp;IF(V412="","",$V$5&amp;":"&amp;V412&amp;";")&amp;IF(W412="","",$W$5&amp;":"&amp;W412&amp;";")&amp;IF(X412="","",$X$5&amp;":"&amp;X412&amp;";")&amp;IF(Y412="","",$Y$5&amp;":"&amp;Y412&amp;";")&amp;IF(Z412="","",$Z$5&amp;":"&amp;Z412&amp;";")&amp;IF(AA412="","",$AA$5&amp;":"&amp;AA412&amp;";")&amp;IF(AB412="","",$AB$5&amp;":"&amp;AB412&amp;";")&amp;IF(AC412="","",$AC$5&amp;":"&amp;AC412&amp;";")&amp;IF(AD412="","",$AD$5&amp;":"&amp;AD412&amp;";")&amp;IF(AE412="","",$AE$5&amp;":"&amp;AE412&amp;";")&amp;IF(AF412="","",$AF$5&amp;":"&amp;AF412&amp;";")&amp;IF(AG412="","",$AG$5&amp;":"&amp;AG412&amp;";")&amp;IF(AH412="","",$AH$5&amp;":"&amp;AH412&amp;";")&amp;IF(AI412="","",$AI$5&amp;":"&amp;AI412&amp;";")&amp;IF(AJ412="","",$AJ$5&amp;":"&amp;AJ412&amp;";")&amp;IF(AK412="","",$AK$5&amp;":"&amp;AK412&amp;";")&amp;IF(AL412="","",$AL$5&amp;":"&amp;AL412&amp;";")&amp;IF(AM412="","",$AM$5&amp;":"&amp;AM412&amp;";")&amp;IF(AN412="","",$AN$5&amp;":"&amp;AN412&amp;";")&amp;IF(AO412="","",$AO$5&amp;":"&amp;AO412&amp;";")&amp;IF(AP412="","",$AP$5&amp;":"&amp;AP412&amp;";")&amp;IF(AQ412="","",$AQ$5&amp;":"&amp;AQ412&amp;";")&amp;IF(AR412="","",$AR$5&amp;":"&amp;AR412&amp;";")&amp;IF(AS412="","",$AS$5&amp;":"&amp;AS412&amp;";")&amp;IF(AT412="","",$AT$5&amp;":"&amp;AT412&amp;";")&amp;IF(AU412="","",$AU$5&amp;":"&amp;AU412&amp;";")</f>
        <v>LUC:0,4;</v>
      </c>
      <c r="M412" s="339">
        <v>0.4</v>
      </c>
      <c r="N412" s="339"/>
      <c r="O412" s="339"/>
      <c r="P412" s="339"/>
      <c r="Q412" s="339"/>
      <c r="R412" s="339"/>
      <c r="S412" s="339"/>
      <c r="T412" s="339"/>
      <c r="U412" s="339"/>
      <c r="V412" s="339"/>
      <c r="W412" s="339"/>
      <c r="X412" s="339"/>
      <c r="Y412" s="339"/>
      <c r="Z412" s="339"/>
      <c r="AA412" s="339"/>
      <c r="AB412" s="339"/>
      <c r="AC412" s="339"/>
      <c r="AD412" s="339"/>
      <c r="AE412" s="339"/>
      <c r="AF412" s="339"/>
      <c r="AG412" s="339"/>
      <c r="AH412" s="339"/>
      <c r="AI412" s="339"/>
      <c r="AJ412" s="339"/>
      <c r="AK412" s="339"/>
      <c r="AL412" s="339"/>
      <c r="AM412" s="339"/>
      <c r="AN412" s="339"/>
      <c r="AO412" s="339"/>
      <c r="AP412" s="339"/>
      <c r="AQ412" s="339"/>
      <c r="AR412" s="339"/>
      <c r="AS412" s="339"/>
      <c r="AT412" s="339"/>
      <c r="AU412" s="339"/>
      <c r="AV412" s="338" t="s">
        <v>300</v>
      </c>
      <c r="AW412" s="338" t="s">
        <v>300</v>
      </c>
      <c r="AX412" s="350" t="s">
        <v>363</v>
      </c>
      <c r="AY412" s="356" t="s">
        <v>363</v>
      </c>
      <c r="AZ412" s="352" t="s">
        <v>1083</v>
      </c>
      <c r="BA412" s="350" t="s">
        <v>357</v>
      </c>
      <c r="BB412" s="350"/>
      <c r="BC412" s="184"/>
      <c r="BD412" s="184"/>
      <c r="BE412" s="184"/>
      <c r="BF412" s="184"/>
      <c r="BG412" s="184"/>
      <c r="BH412" s="350"/>
    </row>
    <row r="413" spans="1:62" ht="42" customHeight="1">
      <c r="A413" s="344">
        <f>SUBTOTAL(3,C$11:$C413)</f>
        <v>293</v>
      </c>
      <c r="B413" s="363" t="s">
        <v>1746</v>
      </c>
      <c r="C413" s="338" t="s">
        <v>88</v>
      </c>
      <c r="D413" s="339">
        <v>0.57999999999999996</v>
      </c>
      <c r="E413" s="339"/>
      <c r="F413" s="339">
        <v>0.57999999999999996</v>
      </c>
      <c r="G413" s="414">
        <f>SUM(M413:AR413)</f>
        <v>0.58000000000000007</v>
      </c>
      <c r="H413" s="413" t="s">
        <v>1084</v>
      </c>
      <c r="I413" s="413" t="s">
        <v>1085</v>
      </c>
      <c r="J413" s="413"/>
      <c r="K413" s="413" t="str">
        <f>IF(M413&lt;&gt;0,$M$5&amp;", ","")&amp;IF(N413&lt;&gt;0,$N$5&amp;", ","")&amp;IF(O413&lt;&gt;0,O$5&amp;", ","")&amp;IF(P413&lt;&gt;0,P$5&amp;", ","")&amp;IF(Q413&lt;&gt;0,Q$5&amp;", ","")&amp;IF(R413&lt;&gt;0,R$5&amp;", ","")&amp;IF(S413&lt;&gt;0,S$5&amp;", ","")&amp;IF(T413&lt;&gt;0,T$5&amp;", ","")&amp;IF(U413&lt;&gt;0,U$5&amp;", ","")&amp;IF(V413&lt;&gt;0,V$5&amp;", ","")&amp;IF(W413&lt;&gt;0,W$5&amp;", ","")&amp;IF(X413&lt;&gt;0,X$5&amp;", ","")&amp;IF(Y413&lt;&gt;0,Y$5&amp;", ","")&amp;IF(Z413&lt;&gt;0,Z$5&amp;", ","")&amp;IF(AA413&lt;&gt;0,AA$5&amp;", ","")&amp;IF(AB413&lt;&gt;0,AB$5&amp;", ","")&amp;IF(AC413&lt;&gt;0,AC$5&amp;", ","")&amp;IF(AD413&lt;&gt;0,AD$5&amp;", ","")&amp;IF(AE413&lt;&gt;0,AE$5&amp;", ","")&amp;IF(AF413&lt;&gt;0,AF$5&amp;", ","")&amp;IF(AG413&lt;&gt;0,AG$5&amp;", ","")&amp;IF(AH413&lt;&gt;0,AH$5&amp;", ","")&amp;IF(AI413&lt;&gt;0,AI$5&amp;", ","")&amp;IF(AJ413&lt;&gt;0,AJ$5&amp;", ","")&amp;IF(AK413&lt;&gt;0,AK$5&amp;", ","")&amp;IF(AL413&lt;&gt;0,AL$5&amp;", ","")&amp;IF(AM413&lt;&gt;0,AM$5&amp;", ","")&amp;IF(AN413&lt;&gt;0,AN$5&amp;", ","")&amp;IF(AO413&lt;&gt;0,AO$5&amp;", ","")&amp;IF(AP413&lt;&gt;0,AP$5&amp;", ","")&amp;IF(AQ413&lt;&gt;0,AQ$5&amp;", ","")&amp;IF(AR413&lt;&gt;0,AR$5,"")&amp;IF(AS413&lt;&gt;0,AS$5,"")&amp;IF(AT413&lt;&gt;0,AT$5,"")&amp;IF(AU413&lt;&gt;0,AU$5,"")</f>
        <v xml:space="preserve">LUC, HNK, NTS, ONT, </v>
      </c>
      <c r="L413" s="413" t="str">
        <f>IF(M413="","",$M$5&amp;":"&amp;M413&amp;";")&amp;IF(N413="","",$N$5&amp;":"&amp;N413&amp;";")&amp;IF(O413="","",$O$5&amp;":"&amp;O413&amp;";")&amp;IF(P413="","",$P$5&amp;":"&amp;P413&amp;";")&amp;IF(Q413="","",$Q$5&amp;":"&amp;Q413&amp;";")&amp;IF(R413="","",$R$5&amp;":"&amp;R413&amp;";")&amp;IF(S413="","",$S$5&amp;":"&amp;S413&amp;";")&amp;IF(T413="","",$T$5&amp;":"&amp;T413&amp;";")&amp;IF(U413="","",$U$5&amp;":"&amp;U413&amp;";")&amp;IF(V413="","",$V$5&amp;":"&amp;V413&amp;";")&amp;IF(W413="","",$W$5&amp;":"&amp;W413&amp;";")&amp;IF(X413="","",$X$5&amp;":"&amp;X413&amp;";")&amp;IF(Y413="","",$Y$5&amp;":"&amp;Y413&amp;";")&amp;IF(Z413="","",$Z$5&amp;":"&amp;Z413&amp;";")&amp;IF(AA413="","",$AA$5&amp;":"&amp;AA413&amp;";")&amp;IF(AB413="","",$AB$5&amp;":"&amp;AB413&amp;";")&amp;IF(AC413="","",$AC$5&amp;":"&amp;AC413&amp;";")&amp;IF(AD413="","",$AD$5&amp;":"&amp;AD413&amp;";")&amp;IF(AE413="","",$AE$5&amp;":"&amp;AE413&amp;";")&amp;IF(AF413="","",$AF$5&amp;":"&amp;AF413&amp;";")&amp;IF(AG413="","",$AG$5&amp;":"&amp;AG413&amp;";")&amp;IF(AH413="","",$AH$5&amp;":"&amp;AH413&amp;";")&amp;IF(AI413="","",$AI$5&amp;":"&amp;AI413&amp;";")&amp;IF(AJ413="","",$AJ$5&amp;":"&amp;AJ413&amp;";")&amp;IF(AK413="","",$AK$5&amp;":"&amp;AK413&amp;";")&amp;IF(AL413="","",$AL$5&amp;":"&amp;AL413&amp;";")&amp;IF(AM413="","",$AM$5&amp;":"&amp;AM413&amp;";")&amp;IF(AN413="","",$AN$5&amp;":"&amp;AN413&amp;";")&amp;IF(AO413="","",$AO$5&amp;":"&amp;AO413&amp;";")&amp;IF(AP413="","",$AP$5&amp;":"&amp;AP413&amp;";")&amp;IF(AQ413="","",$AQ$5&amp;":"&amp;AQ413&amp;";")&amp;IF(AR413="","",$AR$5&amp;":"&amp;AR413&amp;";")&amp;IF(AS413="","",$AS$5&amp;":"&amp;AS413&amp;";")&amp;IF(AT413="","",$AT$5&amp;":"&amp;AT413&amp;";")&amp;IF(AU413="","",$AU$5&amp;":"&amp;AU413&amp;";")</f>
        <v>LUC:0,275;HNK:0,275;NTS:0,02;ONT:0,01;</v>
      </c>
      <c r="M413" s="339">
        <v>0.27500000000000002</v>
      </c>
      <c r="N413" s="339"/>
      <c r="O413" s="339">
        <v>0.27500000000000002</v>
      </c>
      <c r="P413" s="339"/>
      <c r="Q413" s="339">
        <v>0.02</v>
      </c>
      <c r="R413" s="339"/>
      <c r="S413" s="339"/>
      <c r="T413" s="339"/>
      <c r="U413" s="339"/>
      <c r="V413" s="339"/>
      <c r="W413" s="339"/>
      <c r="X413" s="339"/>
      <c r="Y413" s="339"/>
      <c r="Z413" s="339"/>
      <c r="AA413" s="339"/>
      <c r="AB413" s="339"/>
      <c r="AC413" s="339"/>
      <c r="AD413" s="339"/>
      <c r="AE413" s="339"/>
      <c r="AF413" s="339"/>
      <c r="AG413" s="339"/>
      <c r="AH413" s="339"/>
      <c r="AI413" s="339"/>
      <c r="AJ413" s="339"/>
      <c r="AK413" s="339"/>
      <c r="AL413" s="339">
        <v>0.01</v>
      </c>
      <c r="AM413" s="339"/>
      <c r="AN413" s="339"/>
      <c r="AO413" s="339"/>
      <c r="AP413" s="339"/>
      <c r="AQ413" s="339"/>
      <c r="AR413" s="339"/>
      <c r="AS413" s="339"/>
      <c r="AT413" s="339"/>
      <c r="AU413" s="339"/>
      <c r="AV413" s="338" t="s">
        <v>289</v>
      </c>
      <c r="AW413" s="338" t="s">
        <v>289</v>
      </c>
      <c r="AX413" s="350" t="s">
        <v>364</v>
      </c>
      <c r="AY413" s="356" t="s">
        <v>364</v>
      </c>
      <c r="AZ413" s="352" t="s">
        <v>1086</v>
      </c>
      <c r="BA413" s="350" t="s">
        <v>357</v>
      </c>
      <c r="BB413" s="350"/>
      <c r="BC413" s="184"/>
      <c r="BD413" s="184"/>
      <c r="BE413" s="184"/>
      <c r="BF413" s="184"/>
      <c r="BG413" s="184"/>
      <c r="BH413" s="350"/>
    </row>
    <row r="414" spans="1:62" ht="96" customHeight="1">
      <c r="A414" s="611">
        <f>SUBTOTAL(3,C$11:$C414)</f>
        <v>294</v>
      </c>
      <c r="B414" s="635" t="s">
        <v>1747</v>
      </c>
      <c r="C414" s="614" t="s">
        <v>88</v>
      </c>
      <c r="D414" s="339">
        <f>D415+D416</f>
        <v>1.69</v>
      </c>
      <c r="E414" s="339"/>
      <c r="F414" s="339">
        <f>F415+F416</f>
        <v>1.69</v>
      </c>
      <c r="G414" s="414"/>
      <c r="H414" s="413" t="s">
        <v>1084</v>
      </c>
      <c r="I414" s="413"/>
      <c r="J414" s="413"/>
      <c r="K414" s="413"/>
      <c r="L414" s="413"/>
      <c r="M414" s="339"/>
      <c r="N414" s="339"/>
      <c r="O414" s="339"/>
      <c r="P414" s="339"/>
      <c r="Q414" s="339"/>
      <c r="R414" s="339"/>
      <c r="S414" s="339"/>
      <c r="T414" s="339"/>
      <c r="U414" s="339"/>
      <c r="V414" s="339"/>
      <c r="W414" s="339"/>
      <c r="X414" s="339"/>
      <c r="Y414" s="339"/>
      <c r="Z414" s="339"/>
      <c r="AA414" s="339"/>
      <c r="AB414" s="339"/>
      <c r="AC414" s="339"/>
      <c r="AD414" s="339"/>
      <c r="AE414" s="339"/>
      <c r="AF414" s="339"/>
      <c r="AG414" s="339"/>
      <c r="AH414" s="339"/>
      <c r="AI414" s="339"/>
      <c r="AJ414" s="339"/>
      <c r="AK414" s="339"/>
      <c r="AL414" s="339"/>
      <c r="AM414" s="339"/>
      <c r="AN414" s="339"/>
      <c r="AO414" s="339"/>
      <c r="AP414" s="339"/>
      <c r="AQ414" s="339"/>
      <c r="AR414" s="339"/>
      <c r="AS414" s="339"/>
      <c r="AT414" s="339"/>
      <c r="AU414" s="339"/>
      <c r="AV414" s="338" t="s">
        <v>1087</v>
      </c>
      <c r="AW414" s="338"/>
      <c r="AX414" s="350" t="s">
        <v>1088</v>
      </c>
      <c r="AY414" s="356"/>
      <c r="AZ414" s="352"/>
      <c r="BA414" s="350"/>
      <c r="BB414" s="350"/>
      <c r="BC414" s="184"/>
      <c r="BD414" s="184"/>
      <c r="BE414" s="184"/>
      <c r="BF414" s="184"/>
      <c r="BG414" s="184"/>
      <c r="BH414" s="350"/>
    </row>
    <row r="415" spans="1:62" ht="65.25" customHeight="1">
      <c r="A415" s="611"/>
      <c r="B415" s="635"/>
      <c r="C415" s="614"/>
      <c r="D415" s="339">
        <v>1.4</v>
      </c>
      <c r="E415" s="339"/>
      <c r="F415" s="339">
        <v>1.4</v>
      </c>
      <c r="G415" s="414">
        <f t="shared" ref="G415:G432" si="60">SUM(M415:AR415)</f>
        <v>1.4</v>
      </c>
      <c r="H415" s="413" t="s">
        <v>1089</v>
      </c>
      <c r="I415" s="413" t="s">
        <v>1090</v>
      </c>
      <c r="J415" s="413"/>
      <c r="K415" s="413" t="str">
        <f t="shared" ref="K415:K440" si="61">IF(M415&lt;&gt;0,$M$5&amp;", ","")&amp;IF(N415&lt;&gt;0,$N$5&amp;", ","")&amp;IF(O415&lt;&gt;0,O$5&amp;", ","")&amp;IF(P415&lt;&gt;0,P$5&amp;", ","")&amp;IF(Q415&lt;&gt;0,Q$5&amp;", ","")&amp;IF(R415&lt;&gt;0,R$5&amp;", ","")&amp;IF(S415&lt;&gt;0,S$5&amp;", ","")&amp;IF(T415&lt;&gt;0,T$5&amp;", ","")&amp;IF(U415&lt;&gt;0,U$5&amp;", ","")&amp;IF(V415&lt;&gt;0,V$5&amp;", ","")&amp;IF(W415&lt;&gt;0,W$5&amp;", ","")&amp;IF(X415&lt;&gt;0,X$5&amp;", ","")&amp;IF(Y415&lt;&gt;0,Y$5&amp;", ","")&amp;IF(Z415&lt;&gt;0,Z$5&amp;", ","")&amp;IF(AA415&lt;&gt;0,AA$5&amp;", ","")&amp;IF(AB415&lt;&gt;0,AB$5&amp;", ","")&amp;IF(AC415&lt;&gt;0,AC$5&amp;", ","")&amp;IF(AD415&lt;&gt;0,AD$5&amp;", ","")&amp;IF(AE415&lt;&gt;0,AE$5&amp;", ","")&amp;IF(AF415&lt;&gt;0,AF$5&amp;", ","")&amp;IF(AG415&lt;&gt;0,AG$5&amp;", ","")&amp;IF(AH415&lt;&gt;0,AH$5&amp;", ","")&amp;IF(AI415&lt;&gt;0,AI$5&amp;", ","")&amp;IF(AJ415&lt;&gt;0,AJ$5&amp;", ","")&amp;IF(AK415&lt;&gt;0,AK$5&amp;", ","")&amp;IF(AL415&lt;&gt;0,AL$5&amp;", ","")&amp;IF(AM415&lt;&gt;0,AM$5&amp;", ","")&amp;IF(AN415&lt;&gt;0,AN$5&amp;", ","")&amp;IF(AO415&lt;&gt;0,AO$5&amp;", ","")&amp;IF(AP415&lt;&gt;0,AP$5&amp;", ","")&amp;IF(AQ415&lt;&gt;0,AQ$5&amp;", ","")&amp;IF(AR415&lt;&gt;0,AR$5,"")&amp;IF(AS415&lt;&gt;0,AS$5,"")&amp;IF(AT415&lt;&gt;0,AT$5,"")&amp;IF(AU415&lt;&gt;0,AU$5,"")</f>
        <v xml:space="preserve">LUC, NTS, </v>
      </c>
      <c r="L415" s="413" t="str">
        <f t="shared" ref="L415:L440" si="62">IF(M415="","",$M$5&amp;":"&amp;M415&amp;";")&amp;IF(N415="","",$N$5&amp;":"&amp;N415&amp;";")&amp;IF(O415="","",$O$5&amp;":"&amp;O415&amp;";")&amp;IF(P415="","",$P$5&amp;":"&amp;P415&amp;";")&amp;IF(Q415="","",$Q$5&amp;":"&amp;Q415&amp;";")&amp;IF(R415="","",$R$5&amp;":"&amp;R415&amp;";")&amp;IF(S415="","",$S$5&amp;":"&amp;S415&amp;";")&amp;IF(T415="","",$T$5&amp;":"&amp;T415&amp;";")&amp;IF(U415="","",$U$5&amp;":"&amp;U415&amp;";")&amp;IF(V415="","",$V$5&amp;":"&amp;V415&amp;";")&amp;IF(W415="","",$W$5&amp;":"&amp;W415&amp;";")&amp;IF(X415="","",$X$5&amp;":"&amp;X415&amp;";")&amp;IF(Y415="","",$Y$5&amp;":"&amp;Y415&amp;";")&amp;IF(Z415="","",$Z$5&amp;":"&amp;Z415&amp;";")&amp;IF(AA415="","",$AA$5&amp;":"&amp;AA415&amp;";")&amp;IF(AB415="","",$AB$5&amp;":"&amp;AB415&amp;";")&amp;IF(AC415="","",$AC$5&amp;":"&amp;AC415&amp;";")&amp;IF(AD415="","",$AD$5&amp;":"&amp;AD415&amp;";")&amp;IF(AE415="","",$AE$5&amp;":"&amp;AE415&amp;";")&amp;IF(AF415="","",$AF$5&amp;":"&amp;AF415&amp;";")&amp;IF(AG415="","",$AG$5&amp;":"&amp;AG415&amp;";")&amp;IF(AH415="","",$AH$5&amp;":"&amp;AH415&amp;";")&amp;IF(AI415="","",$AI$5&amp;":"&amp;AI415&amp;";")&amp;IF(AJ415="","",$AJ$5&amp;":"&amp;AJ415&amp;";")&amp;IF(AK415="","",$AK$5&amp;":"&amp;AK415&amp;";")&amp;IF(AL415="","",$AL$5&amp;":"&amp;AL415&amp;";")&amp;IF(AM415="","",$AM$5&amp;":"&amp;AM415&amp;";")&amp;IF(AN415="","",$AN$5&amp;":"&amp;AN415&amp;";")&amp;IF(AO415="","",$AO$5&amp;":"&amp;AO415&amp;";")&amp;IF(AP415="","",$AP$5&amp;":"&amp;AP415&amp;";")&amp;IF(AQ415="","",$AQ$5&amp;":"&amp;AQ415&amp;";")&amp;IF(AR415="","",$AR$5&amp;":"&amp;AR415&amp;";")&amp;IF(AS415="","",$AS$5&amp;":"&amp;AS415&amp;";")&amp;IF(AT415="","",$AT$5&amp;":"&amp;AT415&amp;";")&amp;IF(AU415="","",$AU$5&amp;":"&amp;AU415&amp;";")</f>
        <v>LUC:0,7;NTS:0,7;</v>
      </c>
      <c r="M415" s="339">
        <v>0.7</v>
      </c>
      <c r="N415" s="339"/>
      <c r="O415" s="339"/>
      <c r="P415" s="339"/>
      <c r="Q415" s="339">
        <v>0.7</v>
      </c>
      <c r="R415" s="339"/>
      <c r="S415" s="339"/>
      <c r="T415" s="339"/>
      <c r="U415" s="339"/>
      <c r="V415" s="339"/>
      <c r="W415" s="339"/>
      <c r="X415" s="339"/>
      <c r="Y415" s="339"/>
      <c r="Z415" s="339"/>
      <c r="AA415" s="339"/>
      <c r="AB415" s="339"/>
      <c r="AC415" s="339"/>
      <c r="AD415" s="339"/>
      <c r="AE415" s="339"/>
      <c r="AF415" s="339"/>
      <c r="AG415" s="339"/>
      <c r="AH415" s="339"/>
      <c r="AI415" s="339"/>
      <c r="AJ415" s="339"/>
      <c r="AK415" s="339"/>
      <c r="AL415" s="339"/>
      <c r="AM415" s="339"/>
      <c r="AN415" s="339"/>
      <c r="AO415" s="339"/>
      <c r="AP415" s="339"/>
      <c r="AQ415" s="339"/>
      <c r="AR415" s="339"/>
      <c r="AS415" s="339"/>
      <c r="AT415" s="339"/>
      <c r="AU415" s="339"/>
      <c r="AV415" s="338" t="s">
        <v>289</v>
      </c>
      <c r="AW415" s="338" t="s">
        <v>289</v>
      </c>
      <c r="AX415" s="350" t="s">
        <v>365</v>
      </c>
      <c r="AY415" s="356" t="s">
        <v>365</v>
      </c>
      <c r="AZ415" s="352" t="s">
        <v>1091</v>
      </c>
      <c r="BA415" s="350" t="s">
        <v>357</v>
      </c>
      <c r="BB415" s="350"/>
      <c r="BC415" s="184"/>
      <c r="BD415" s="184"/>
      <c r="BE415" s="184"/>
      <c r="BF415" s="184"/>
      <c r="BG415" s="184"/>
      <c r="BH415" s="350"/>
    </row>
    <row r="416" spans="1:62" ht="35.15" customHeight="1">
      <c r="A416" s="611"/>
      <c r="B416" s="635"/>
      <c r="C416" s="614"/>
      <c r="D416" s="339">
        <v>0.28999999999999998</v>
      </c>
      <c r="E416" s="339"/>
      <c r="F416" s="339">
        <v>0.28999999999999998</v>
      </c>
      <c r="G416" s="414">
        <f t="shared" si="60"/>
        <v>0.29000000000000004</v>
      </c>
      <c r="H416" s="413" t="s">
        <v>1092</v>
      </c>
      <c r="I416" s="413" t="s">
        <v>1092</v>
      </c>
      <c r="J416" s="413"/>
      <c r="K416" s="413" t="str">
        <f t="shared" si="61"/>
        <v xml:space="preserve">HNK, ONT, </v>
      </c>
      <c r="L416" s="413" t="str">
        <f t="shared" si="62"/>
        <v>HNK:0,28;ONT:0,01;</v>
      </c>
      <c r="M416" s="339"/>
      <c r="N416" s="339"/>
      <c r="O416" s="339">
        <v>0.28000000000000003</v>
      </c>
      <c r="P416" s="339"/>
      <c r="Q416" s="339"/>
      <c r="R416" s="339"/>
      <c r="S416" s="339"/>
      <c r="T416" s="339"/>
      <c r="U416" s="339"/>
      <c r="V416" s="339"/>
      <c r="W416" s="339"/>
      <c r="X416" s="339"/>
      <c r="Y416" s="339"/>
      <c r="Z416" s="339"/>
      <c r="AA416" s="339"/>
      <c r="AB416" s="339"/>
      <c r="AC416" s="339"/>
      <c r="AD416" s="339"/>
      <c r="AE416" s="339"/>
      <c r="AF416" s="339"/>
      <c r="AG416" s="339"/>
      <c r="AH416" s="339"/>
      <c r="AI416" s="339"/>
      <c r="AJ416" s="339"/>
      <c r="AK416" s="339"/>
      <c r="AL416" s="339">
        <v>0.01</v>
      </c>
      <c r="AM416" s="339"/>
      <c r="AN416" s="339"/>
      <c r="AO416" s="339"/>
      <c r="AP416" s="339"/>
      <c r="AQ416" s="339"/>
      <c r="AR416" s="339"/>
      <c r="AS416" s="339"/>
      <c r="AT416" s="339"/>
      <c r="AU416" s="339"/>
      <c r="AV416" s="338" t="s">
        <v>306</v>
      </c>
      <c r="AW416" s="338" t="s">
        <v>306</v>
      </c>
      <c r="AX416" s="350" t="s">
        <v>366</v>
      </c>
      <c r="AY416" s="356" t="s">
        <v>366</v>
      </c>
      <c r="AZ416" s="352" t="s">
        <v>1093</v>
      </c>
      <c r="BA416" s="350" t="s">
        <v>357</v>
      </c>
      <c r="BB416" s="350"/>
      <c r="BC416" s="184"/>
      <c r="BD416" s="184"/>
      <c r="BE416" s="184"/>
      <c r="BF416" s="184"/>
      <c r="BG416" s="184"/>
      <c r="BH416" s="350"/>
    </row>
    <row r="417" spans="1:60" ht="44.25" customHeight="1">
      <c r="A417" s="511">
        <f>SUBTOTAL(3,C$11:$C417)</f>
        <v>295</v>
      </c>
      <c r="B417" s="613" t="s">
        <v>971</v>
      </c>
      <c r="C417" s="614" t="s">
        <v>88</v>
      </c>
      <c r="D417" s="361">
        <v>12.5</v>
      </c>
      <c r="E417" s="366"/>
      <c r="F417" s="361">
        <v>12.5</v>
      </c>
      <c r="G417" s="414">
        <f t="shared" si="60"/>
        <v>3</v>
      </c>
      <c r="H417" s="413" t="s">
        <v>1094</v>
      </c>
      <c r="I417" s="413" t="s">
        <v>1095</v>
      </c>
      <c r="J417" s="413"/>
      <c r="K417" s="413" t="str">
        <f t="shared" si="61"/>
        <v xml:space="preserve">LUC, HNK, </v>
      </c>
      <c r="L417" s="413" t="str">
        <f t="shared" si="62"/>
        <v>LUC:1,8;HNK:1,2;</v>
      </c>
      <c r="M417" s="361">
        <v>1.8</v>
      </c>
      <c r="N417" s="361"/>
      <c r="O417" s="361">
        <v>1.2</v>
      </c>
      <c r="P417" s="361"/>
      <c r="Q417" s="361"/>
      <c r="R417" s="361"/>
      <c r="S417" s="361"/>
      <c r="T417" s="361"/>
      <c r="U417" s="361"/>
      <c r="V417" s="361"/>
      <c r="W417" s="361"/>
      <c r="X417" s="361"/>
      <c r="Y417" s="361"/>
      <c r="Z417" s="361"/>
      <c r="AA417" s="361"/>
      <c r="AB417" s="361"/>
      <c r="AC417" s="361"/>
      <c r="AD417" s="361"/>
      <c r="AE417" s="361"/>
      <c r="AF417" s="361"/>
      <c r="AG417" s="361"/>
      <c r="AH417" s="361"/>
      <c r="AI417" s="361"/>
      <c r="AJ417" s="361"/>
      <c r="AK417" s="361"/>
      <c r="AL417" s="361"/>
      <c r="AM417" s="361"/>
      <c r="AN417" s="361"/>
      <c r="AO417" s="361"/>
      <c r="AP417" s="361"/>
      <c r="AQ417" s="361"/>
      <c r="AR417" s="361"/>
      <c r="AS417" s="361"/>
      <c r="AT417" s="361"/>
      <c r="AU417" s="361"/>
      <c r="AV417" s="350" t="s">
        <v>269</v>
      </c>
      <c r="AW417" s="350" t="s">
        <v>269</v>
      </c>
      <c r="AX417" s="350"/>
      <c r="AY417" s="356"/>
      <c r="AZ417" s="213"/>
      <c r="BA417" s="353"/>
      <c r="BB417" s="353"/>
      <c r="BC417" s="213"/>
      <c r="BD417" s="213"/>
      <c r="BE417" s="213"/>
      <c r="BF417" s="213"/>
      <c r="BG417" s="213"/>
      <c r="BH417" s="236"/>
    </row>
    <row r="418" spans="1:60" ht="42" hidden="1" customHeight="1">
      <c r="A418" s="511"/>
      <c r="B418" s="613"/>
      <c r="C418" s="614"/>
      <c r="D418" s="361">
        <v>3</v>
      </c>
      <c r="E418" s="366"/>
      <c r="F418" s="361">
        <v>3</v>
      </c>
      <c r="G418" s="414">
        <f t="shared" si="60"/>
        <v>3</v>
      </c>
      <c r="H418" s="413" t="s">
        <v>1094</v>
      </c>
      <c r="I418" s="413" t="s">
        <v>1095</v>
      </c>
      <c r="J418" s="413"/>
      <c r="K418" s="413" t="str">
        <f t="shared" si="61"/>
        <v xml:space="preserve">LUC, HNK, </v>
      </c>
      <c r="L418" s="413" t="str">
        <f t="shared" si="62"/>
        <v>LUC:1,8;HNK:1,2;</v>
      </c>
      <c r="M418" s="361">
        <v>1.8</v>
      </c>
      <c r="N418" s="361"/>
      <c r="O418" s="361">
        <v>1.2</v>
      </c>
      <c r="P418" s="361"/>
      <c r="Q418" s="361"/>
      <c r="R418" s="361"/>
      <c r="S418" s="361"/>
      <c r="T418" s="361"/>
      <c r="U418" s="361"/>
      <c r="V418" s="361"/>
      <c r="W418" s="361"/>
      <c r="X418" s="361"/>
      <c r="Y418" s="361"/>
      <c r="Z418" s="361"/>
      <c r="AA418" s="361"/>
      <c r="AB418" s="361"/>
      <c r="AC418" s="361"/>
      <c r="AD418" s="361"/>
      <c r="AE418" s="361"/>
      <c r="AF418" s="361"/>
      <c r="AG418" s="361"/>
      <c r="AH418" s="361"/>
      <c r="AI418" s="361"/>
      <c r="AJ418" s="361"/>
      <c r="AK418" s="361"/>
      <c r="AL418" s="361"/>
      <c r="AM418" s="361"/>
      <c r="AN418" s="361"/>
      <c r="AO418" s="361"/>
      <c r="AP418" s="361"/>
      <c r="AQ418" s="361"/>
      <c r="AR418" s="361"/>
      <c r="AS418" s="361"/>
      <c r="AT418" s="361"/>
      <c r="AU418" s="361"/>
      <c r="AV418" s="350" t="s">
        <v>217</v>
      </c>
      <c r="AW418" s="350" t="s">
        <v>217</v>
      </c>
      <c r="AX418" s="350"/>
      <c r="AY418" s="356"/>
      <c r="AZ418" s="213"/>
      <c r="BA418" s="353"/>
      <c r="BB418" s="353"/>
      <c r="BC418" s="213"/>
      <c r="BD418" s="213"/>
      <c r="BE418" s="213"/>
      <c r="BF418" s="213"/>
      <c r="BG418" s="213"/>
      <c r="BH418" s="236"/>
    </row>
    <row r="419" spans="1:60" ht="42" hidden="1" customHeight="1">
      <c r="A419" s="511"/>
      <c r="B419" s="613"/>
      <c r="C419" s="614"/>
      <c r="D419" s="361">
        <v>0.5</v>
      </c>
      <c r="E419" s="366"/>
      <c r="F419" s="361">
        <v>0.5</v>
      </c>
      <c r="G419" s="414">
        <f t="shared" si="60"/>
        <v>0.5</v>
      </c>
      <c r="H419" s="413" t="s">
        <v>5</v>
      </c>
      <c r="I419" s="413" t="s">
        <v>7</v>
      </c>
      <c r="J419" s="413"/>
      <c r="K419" s="413" t="str">
        <f t="shared" si="61"/>
        <v xml:space="preserve">LUC, </v>
      </c>
      <c r="L419" s="413" t="str">
        <f t="shared" si="62"/>
        <v>LUC:0,5;</v>
      </c>
      <c r="M419" s="361">
        <v>0.5</v>
      </c>
      <c r="N419" s="361"/>
      <c r="O419" s="361"/>
      <c r="P419" s="361"/>
      <c r="Q419" s="361"/>
      <c r="R419" s="361"/>
      <c r="S419" s="361"/>
      <c r="T419" s="361"/>
      <c r="U419" s="361"/>
      <c r="V419" s="361"/>
      <c r="W419" s="361"/>
      <c r="X419" s="361"/>
      <c r="Y419" s="361"/>
      <c r="Z419" s="361"/>
      <c r="AA419" s="361"/>
      <c r="AB419" s="361"/>
      <c r="AC419" s="361"/>
      <c r="AD419" s="361"/>
      <c r="AE419" s="361"/>
      <c r="AF419" s="361"/>
      <c r="AG419" s="361"/>
      <c r="AH419" s="361"/>
      <c r="AI419" s="361"/>
      <c r="AJ419" s="361"/>
      <c r="AK419" s="361"/>
      <c r="AL419" s="361"/>
      <c r="AM419" s="361"/>
      <c r="AN419" s="361"/>
      <c r="AO419" s="361"/>
      <c r="AP419" s="361"/>
      <c r="AQ419" s="361"/>
      <c r="AR419" s="361"/>
      <c r="AS419" s="361"/>
      <c r="AT419" s="361"/>
      <c r="AU419" s="361"/>
      <c r="AV419" s="350" t="s">
        <v>370</v>
      </c>
      <c r="AW419" s="350" t="s">
        <v>370</v>
      </c>
      <c r="AX419" s="350"/>
      <c r="AY419" s="356"/>
      <c r="AZ419" s="213"/>
      <c r="BA419" s="353"/>
      <c r="BB419" s="353"/>
      <c r="BC419" s="213"/>
      <c r="BD419" s="213"/>
      <c r="BE419" s="213"/>
      <c r="BF419" s="213"/>
      <c r="BG419" s="213"/>
      <c r="BH419" s="236"/>
    </row>
    <row r="420" spans="1:60" ht="42" hidden="1" customHeight="1">
      <c r="A420" s="511"/>
      <c r="B420" s="613"/>
      <c r="C420" s="614"/>
      <c r="D420" s="361">
        <v>1</v>
      </c>
      <c r="E420" s="366"/>
      <c r="F420" s="361">
        <v>1</v>
      </c>
      <c r="G420" s="414">
        <f t="shared" si="60"/>
        <v>1</v>
      </c>
      <c r="H420" s="413" t="s">
        <v>5</v>
      </c>
      <c r="I420" s="413" t="s">
        <v>7</v>
      </c>
      <c r="J420" s="413"/>
      <c r="K420" s="413" t="str">
        <f t="shared" si="61"/>
        <v xml:space="preserve">LUC, </v>
      </c>
      <c r="L420" s="413" t="str">
        <f t="shared" si="62"/>
        <v>LUC:1;</v>
      </c>
      <c r="M420" s="361">
        <v>1</v>
      </c>
      <c r="N420" s="361"/>
      <c r="O420" s="361"/>
      <c r="P420" s="361"/>
      <c r="Q420" s="361"/>
      <c r="R420" s="361"/>
      <c r="S420" s="361"/>
      <c r="T420" s="361"/>
      <c r="U420" s="361"/>
      <c r="V420" s="361"/>
      <c r="W420" s="361"/>
      <c r="X420" s="361"/>
      <c r="Y420" s="361"/>
      <c r="Z420" s="361"/>
      <c r="AA420" s="361"/>
      <c r="AB420" s="361"/>
      <c r="AC420" s="361"/>
      <c r="AD420" s="361"/>
      <c r="AE420" s="361"/>
      <c r="AF420" s="361"/>
      <c r="AG420" s="361"/>
      <c r="AH420" s="361"/>
      <c r="AI420" s="361"/>
      <c r="AJ420" s="361"/>
      <c r="AK420" s="361"/>
      <c r="AL420" s="361"/>
      <c r="AM420" s="361"/>
      <c r="AN420" s="361"/>
      <c r="AO420" s="361"/>
      <c r="AP420" s="361"/>
      <c r="AQ420" s="361"/>
      <c r="AR420" s="361"/>
      <c r="AS420" s="361"/>
      <c r="AT420" s="361"/>
      <c r="AU420" s="361"/>
      <c r="AV420" s="350" t="s">
        <v>258</v>
      </c>
      <c r="AW420" s="350" t="s">
        <v>258</v>
      </c>
      <c r="AX420" s="350"/>
      <c r="AY420" s="356"/>
      <c r="AZ420" s="213"/>
      <c r="BA420" s="353"/>
      <c r="BB420" s="353"/>
      <c r="BC420" s="213"/>
      <c r="BD420" s="213"/>
      <c r="BE420" s="213"/>
      <c r="BF420" s="213"/>
      <c r="BG420" s="213"/>
      <c r="BH420" s="236"/>
    </row>
    <row r="421" spans="1:60" ht="42" hidden="1" customHeight="1">
      <c r="A421" s="511"/>
      <c r="B421" s="613"/>
      <c r="C421" s="614"/>
      <c r="D421" s="361">
        <v>1</v>
      </c>
      <c r="E421" s="366"/>
      <c r="F421" s="361">
        <v>1</v>
      </c>
      <c r="G421" s="414">
        <f t="shared" si="60"/>
        <v>1</v>
      </c>
      <c r="H421" s="413" t="s">
        <v>13</v>
      </c>
      <c r="I421" s="413" t="s">
        <v>13</v>
      </c>
      <c r="J421" s="413"/>
      <c r="K421" s="413" t="str">
        <f t="shared" si="61"/>
        <v xml:space="preserve">CLN, </v>
      </c>
      <c r="L421" s="413" t="str">
        <f t="shared" si="62"/>
        <v>CLN:1;</v>
      </c>
      <c r="M421" s="361"/>
      <c r="N421" s="361"/>
      <c r="O421" s="361"/>
      <c r="P421" s="361">
        <v>1</v>
      </c>
      <c r="Q421" s="361"/>
      <c r="R421" s="361"/>
      <c r="S421" s="361"/>
      <c r="T421" s="361"/>
      <c r="U421" s="361"/>
      <c r="V421" s="361"/>
      <c r="W421" s="361"/>
      <c r="X421" s="361"/>
      <c r="Y421" s="361"/>
      <c r="Z421" s="361"/>
      <c r="AA421" s="361"/>
      <c r="AB421" s="361"/>
      <c r="AC421" s="361"/>
      <c r="AD421" s="361"/>
      <c r="AE421" s="361"/>
      <c r="AF421" s="361"/>
      <c r="AG421" s="361"/>
      <c r="AH421" s="361"/>
      <c r="AI421" s="361"/>
      <c r="AJ421" s="361"/>
      <c r="AK421" s="361"/>
      <c r="AL421" s="361"/>
      <c r="AM421" s="361"/>
      <c r="AN421" s="361"/>
      <c r="AO421" s="361"/>
      <c r="AP421" s="361"/>
      <c r="AQ421" s="361"/>
      <c r="AR421" s="361"/>
      <c r="AS421" s="361"/>
      <c r="AT421" s="361"/>
      <c r="AU421" s="361"/>
      <c r="AV421" s="350" t="s">
        <v>318</v>
      </c>
      <c r="AW421" s="350" t="s">
        <v>318</v>
      </c>
      <c r="AX421" s="185"/>
      <c r="AZ421" s="213"/>
      <c r="BA421" s="353"/>
      <c r="BB421" s="353"/>
      <c r="BC421" s="213"/>
      <c r="BD421" s="213"/>
      <c r="BE421" s="213"/>
      <c r="BF421" s="213"/>
      <c r="BG421" s="213"/>
      <c r="BH421" s="236"/>
    </row>
    <row r="422" spans="1:60" ht="42" hidden="1" customHeight="1">
      <c r="A422" s="511"/>
      <c r="B422" s="613"/>
      <c r="C422" s="614"/>
      <c r="D422" s="361">
        <v>0.5</v>
      </c>
      <c r="E422" s="366"/>
      <c r="F422" s="361">
        <v>0.5</v>
      </c>
      <c r="G422" s="414">
        <f t="shared" si="60"/>
        <v>0.5</v>
      </c>
      <c r="H422" s="413" t="s">
        <v>5</v>
      </c>
      <c r="I422" s="413" t="s">
        <v>7</v>
      </c>
      <c r="J422" s="413"/>
      <c r="K422" s="413" t="str">
        <f t="shared" si="61"/>
        <v xml:space="preserve">LUC, </v>
      </c>
      <c r="L422" s="413" t="str">
        <f t="shared" si="62"/>
        <v>LUC:0,5;</v>
      </c>
      <c r="M422" s="361">
        <v>0.5</v>
      </c>
      <c r="N422" s="361"/>
      <c r="O422" s="361"/>
      <c r="P422" s="361"/>
      <c r="Q422" s="361"/>
      <c r="R422" s="361"/>
      <c r="S422" s="361"/>
      <c r="T422" s="361"/>
      <c r="U422" s="361"/>
      <c r="V422" s="361"/>
      <c r="W422" s="361"/>
      <c r="X422" s="361"/>
      <c r="Y422" s="361"/>
      <c r="Z422" s="361"/>
      <c r="AA422" s="361"/>
      <c r="AB422" s="361"/>
      <c r="AC422" s="361"/>
      <c r="AD422" s="361"/>
      <c r="AE422" s="361"/>
      <c r="AF422" s="361"/>
      <c r="AG422" s="361"/>
      <c r="AH422" s="361"/>
      <c r="AI422" s="361"/>
      <c r="AJ422" s="361"/>
      <c r="AK422" s="361"/>
      <c r="AL422" s="361"/>
      <c r="AM422" s="361"/>
      <c r="AN422" s="361"/>
      <c r="AO422" s="361"/>
      <c r="AP422" s="361"/>
      <c r="AQ422" s="361"/>
      <c r="AR422" s="361"/>
      <c r="AS422" s="361"/>
      <c r="AT422" s="361"/>
      <c r="AU422" s="361"/>
      <c r="AV422" s="350" t="s">
        <v>277</v>
      </c>
      <c r="AW422" s="350" t="s">
        <v>277</v>
      </c>
      <c r="AX422" s="350"/>
      <c r="AY422" s="356"/>
      <c r="AZ422" s="213"/>
      <c r="BA422" s="353"/>
      <c r="BB422" s="353"/>
      <c r="BC422" s="213"/>
      <c r="BD422" s="213"/>
      <c r="BE422" s="213"/>
      <c r="BF422" s="213"/>
      <c r="BG422" s="213"/>
      <c r="BH422" s="236"/>
    </row>
    <row r="423" spans="1:60" ht="42" hidden="1" customHeight="1">
      <c r="A423" s="511"/>
      <c r="B423" s="613"/>
      <c r="C423" s="614"/>
      <c r="D423" s="361">
        <v>0.5</v>
      </c>
      <c r="E423" s="366"/>
      <c r="F423" s="361">
        <v>0.5</v>
      </c>
      <c r="G423" s="414">
        <f t="shared" si="60"/>
        <v>0.5</v>
      </c>
      <c r="H423" s="413" t="s">
        <v>1094</v>
      </c>
      <c r="I423" s="413" t="s">
        <v>1095</v>
      </c>
      <c r="J423" s="413"/>
      <c r="K423" s="413" t="str">
        <f t="shared" si="61"/>
        <v xml:space="preserve">LUC, HNK, </v>
      </c>
      <c r="L423" s="413" t="str">
        <f t="shared" si="62"/>
        <v>LUC:0,25;HNK:0,25;</v>
      </c>
      <c r="M423" s="361">
        <v>0.25</v>
      </c>
      <c r="N423" s="361"/>
      <c r="O423" s="361">
        <v>0.25</v>
      </c>
      <c r="P423" s="361"/>
      <c r="Q423" s="361"/>
      <c r="R423" s="361"/>
      <c r="S423" s="361"/>
      <c r="T423" s="361"/>
      <c r="U423" s="361"/>
      <c r="V423" s="361"/>
      <c r="W423" s="361"/>
      <c r="X423" s="361"/>
      <c r="Y423" s="361"/>
      <c r="Z423" s="361"/>
      <c r="AA423" s="361"/>
      <c r="AB423" s="361"/>
      <c r="AC423" s="361"/>
      <c r="AD423" s="361"/>
      <c r="AE423" s="361"/>
      <c r="AF423" s="361"/>
      <c r="AG423" s="361"/>
      <c r="AH423" s="361"/>
      <c r="AI423" s="361"/>
      <c r="AJ423" s="361"/>
      <c r="AK423" s="361"/>
      <c r="AL423" s="361"/>
      <c r="AM423" s="361"/>
      <c r="AN423" s="361"/>
      <c r="AO423" s="361"/>
      <c r="AP423" s="361"/>
      <c r="AQ423" s="361"/>
      <c r="AR423" s="361"/>
      <c r="AS423" s="361"/>
      <c r="AT423" s="361"/>
      <c r="AU423" s="361"/>
      <c r="AV423" s="350" t="s">
        <v>280</v>
      </c>
      <c r="AW423" s="350" t="s">
        <v>280</v>
      </c>
      <c r="AX423" s="350"/>
      <c r="AY423" s="356"/>
      <c r="AZ423" s="213"/>
      <c r="BA423" s="353"/>
      <c r="BB423" s="353"/>
      <c r="BC423" s="213"/>
      <c r="BD423" s="213"/>
      <c r="BE423" s="213"/>
      <c r="BF423" s="213"/>
      <c r="BG423" s="213"/>
      <c r="BH423" s="236"/>
    </row>
    <row r="424" spans="1:60" ht="42" hidden="1" customHeight="1">
      <c r="A424" s="511"/>
      <c r="B424" s="613"/>
      <c r="C424" s="614"/>
      <c r="D424" s="361">
        <v>0.5</v>
      </c>
      <c r="E424" s="366"/>
      <c r="F424" s="361">
        <v>0.5</v>
      </c>
      <c r="G424" s="414">
        <f t="shared" si="60"/>
        <v>0.5</v>
      </c>
      <c r="H424" s="413" t="s">
        <v>5</v>
      </c>
      <c r="I424" s="413" t="s">
        <v>7</v>
      </c>
      <c r="J424" s="413"/>
      <c r="K424" s="413" t="str">
        <f t="shared" si="61"/>
        <v xml:space="preserve">LUC, </v>
      </c>
      <c r="L424" s="413" t="str">
        <f t="shared" si="62"/>
        <v>LUC:0,5;</v>
      </c>
      <c r="M424" s="361">
        <v>0.5</v>
      </c>
      <c r="N424" s="361"/>
      <c r="O424" s="361"/>
      <c r="P424" s="361"/>
      <c r="Q424" s="361"/>
      <c r="R424" s="361"/>
      <c r="S424" s="361"/>
      <c r="T424" s="361"/>
      <c r="U424" s="361"/>
      <c r="V424" s="361"/>
      <c r="W424" s="361"/>
      <c r="X424" s="361"/>
      <c r="Y424" s="361"/>
      <c r="Z424" s="361"/>
      <c r="AA424" s="361"/>
      <c r="AB424" s="361"/>
      <c r="AC424" s="361"/>
      <c r="AD424" s="361"/>
      <c r="AE424" s="361"/>
      <c r="AF424" s="361"/>
      <c r="AG424" s="361"/>
      <c r="AH424" s="361"/>
      <c r="AI424" s="361"/>
      <c r="AJ424" s="361"/>
      <c r="AK424" s="361"/>
      <c r="AL424" s="361"/>
      <c r="AM424" s="361"/>
      <c r="AN424" s="361"/>
      <c r="AO424" s="361"/>
      <c r="AP424" s="361"/>
      <c r="AQ424" s="361"/>
      <c r="AR424" s="361"/>
      <c r="AS424" s="361"/>
      <c r="AT424" s="361"/>
      <c r="AU424" s="361"/>
      <c r="AV424" s="350" t="s">
        <v>306</v>
      </c>
      <c r="AW424" s="350" t="s">
        <v>306</v>
      </c>
      <c r="AX424" s="350"/>
      <c r="AY424" s="356"/>
      <c r="AZ424" s="213"/>
      <c r="BA424" s="353"/>
      <c r="BB424" s="353"/>
      <c r="BC424" s="213"/>
      <c r="BD424" s="213"/>
      <c r="BE424" s="213"/>
      <c r="BF424" s="213"/>
      <c r="BG424" s="213"/>
      <c r="BH424" s="236"/>
    </row>
    <row r="425" spans="1:60" ht="42" hidden="1" customHeight="1">
      <c r="A425" s="511"/>
      <c r="B425" s="613"/>
      <c r="C425" s="614"/>
      <c r="D425" s="361">
        <v>0.5</v>
      </c>
      <c r="E425" s="366"/>
      <c r="F425" s="361">
        <v>0.5</v>
      </c>
      <c r="G425" s="414">
        <f t="shared" si="60"/>
        <v>0.5</v>
      </c>
      <c r="H425" s="413" t="s">
        <v>1094</v>
      </c>
      <c r="I425" s="413" t="s">
        <v>1095</v>
      </c>
      <c r="J425" s="413"/>
      <c r="K425" s="413" t="str">
        <f t="shared" si="61"/>
        <v xml:space="preserve">LUC, HNK, </v>
      </c>
      <c r="L425" s="413" t="str">
        <f t="shared" si="62"/>
        <v>LUC:0,25;HNK:0,25;</v>
      </c>
      <c r="M425" s="361">
        <v>0.25</v>
      </c>
      <c r="N425" s="361"/>
      <c r="O425" s="361">
        <v>0.25</v>
      </c>
      <c r="P425" s="361"/>
      <c r="Q425" s="361"/>
      <c r="R425" s="361"/>
      <c r="S425" s="361"/>
      <c r="T425" s="361"/>
      <c r="U425" s="361"/>
      <c r="V425" s="361"/>
      <c r="W425" s="361"/>
      <c r="X425" s="361"/>
      <c r="Y425" s="361"/>
      <c r="Z425" s="361"/>
      <c r="AA425" s="361"/>
      <c r="AB425" s="361"/>
      <c r="AC425" s="361"/>
      <c r="AD425" s="361"/>
      <c r="AE425" s="361"/>
      <c r="AF425" s="361"/>
      <c r="AG425" s="361"/>
      <c r="AH425" s="361"/>
      <c r="AI425" s="361"/>
      <c r="AJ425" s="361"/>
      <c r="AK425" s="361"/>
      <c r="AL425" s="361"/>
      <c r="AM425" s="361"/>
      <c r="AN425" s="361"/>
      <c r="AO425" s="361"/>
      <c r="AP425" s="361"/>
      <c r="AQ425" s="361"/>
      <c r="AR425" s="361"/>
      <c r="AS425" s="361"/>
      <c r="AT425" s="361"/>
      <c r="AU425" s="361"/>
      <c r="AV425" s="350" t="s">
        <v>283</v>
      </c>
      <c r="AW425" s="350" t="s">
        <v>283</v>
      </c>
      <c r="AX425" s="185"/>
      <c r="AZ425" s="213"/>
      <c r="BA425" s="353"/>
      <c r="BB425" s="353"/>
      <c r="BC425" s="213"/>
      <c r="BD425" s="213"/>
      <c r="BE425" s="213"/>
      <c r="BF425" s="213"/>
      <c r="BG425" s="213"/>
      <c r="BH425" s="236"/>
    </row>
    <row r="426" spans="1:60" ht="42" hidden="1" customHeight="1">
      <c r="A426" s="511"/>
      <c r="B426" s="613"/>
      <c r="C426" s="614"/>
      <c r="D426" s="361">
        <v>0.5</v>
      </c>
      <c r="E426" s="366"/>
      <c r="F426" s="361">
        <v>0.5</v>
      </c>
      <c r="G426" s="414">
        <f t="shared" si="60"/>
        <v>0.5</v>
      </c>
      <c r="H426" s="413" t="s">
        <v>5</v>
      </c>
      <c r="I426" s="413" t="s">
        <v>7</v>
      </c>
      <c r="J426" s="413"/>
      <c r="K426" s="413" t="str">
        <f t="shared" si="61"/>
        <v xml:space="preserve">LUC, </v>
      </c>
      <c r="L426" s="413" t="str">
        <f t="shared" si="62"/>
        <v>LUC:0,5;</v>
      </c>
      <c r="M426" s="361">
        <v>0.5</v>
      </c>
      <c r="N426" s="361"/>
      <c r="O426" s="361"/>
      <c r="P426" s="361"/>
      <c r="Q426" s="361"/>
      <c r="R426" s="361"/>
      <c r="S426" s="361"/>
      <c r="T426" s="361"/>
      <c r="U426" s="361"/>
      <c r="V426" s="361"/>
      <c r="W426" s="361"/>
      <c r="X426" s="361"/>
      <c r="Y426" s="361"/>
      <c r="Z426" s="361"/>
      <c r="AA426" s="361"/>
      <c r="AB426" s="361"/>
      <c r="AC426" s="361"/>
      <c r="AD426" s="361"/>
      <c r="AE426" s="361"/>
      <c r="AF426" s="361"/>
      <c r="AG426" s="361"/>
      <c r="AH426" s="361"/>
      <c r="AI426" s="361"/>
      <c r="AJ426" s="361"/>
      <c r="AK426" s="361"/>
      <c r="AL426" s="361"/>
      <c r="AM426" s="361"/>
      <c r="AN426" s="361"/>
      <c r="AO426" s="361"/>
      <c r="AP426" s="361"/>
      <c r="AQ426" s="361"/>
      <c r="AR426" s="361"/>
      <c r="AS426" s="361"/>
      <c r="AT426" s="361"/>
      <c r="AU426" s="361"/>
      <c r="AV426" s="350" t="s">
        <v>286</v>
      </c>
      <c r="AW426" s="350" t="s">
        <v>286</v>
      </c>
      <c r="AX426" s="350"/>
      <c r="AY426" s="356"/>
      <c r="AZ426" s="213"/>
      <c r="BA426" s="353"/>
      <c r="BB426" s="353"/>
      <c r="BC426" s="213"/>
      <c r="BD426" s="213"/>
      <c r="BE426" s="213"/>
      <c r="BF426" s="213"/>
      <c r="BG426" s="213"/>
      <c r="BH426" s="236"/>
    </row>
    <row r="427" spans="1:60" ht="42" hidden="1" customHeight="1">
      <c r="A427" s="511"/>
      <c r="B427" s="613"/>
      <c r="C427" s="614"/>
      <c r="D427" s="361">
        <v>0.5</v>
      </c>
      <c r="E427" s="366"/>
      <c r="F427" s="361">
        <v>0.5</v>
      </c>
      <c r="G427" s="414">
        <f t="shared" si="60"/>
        <v>0.5</v>
      </c>
      <c r="H427" s="413" t="s">
        <v>1094</v>
      </c>
      <c r="I427" s="413" t="s">
        <v>1095</v>
      </c>
      <c r="J427" s="413"/>
      <c r="K427" s="413" t="str">
        <f t="shared" si="61"/>
        <v xml:space="preserve">LUC, HNK, </v>
      </c>
      <c r="L427" s="413" t="str">
        <f t="shared" si="62"/>
        <v>LUC:0,25;HNK:0,25;</v>
      </c>
      <c r="M427" s="361">
        <v>0.25</v>
      </c>
      <c r="N427" s="361"/>
      <c r="O427" s="361">
        <v>0.25</v>
      </c>
      <c r="P427" s="361"/>
      <c r="Q427" s="361"/>
      <c r="R427" s="361"/>
      <c r="S427" s="361"/>
      <c r="T427" s="361"/>
      <c r="U427" s="361"/>
      <c r="V427" s="361"/>
      <c r="W427" s="361"/>
      <c r="X427" s="361"/>
      <c r="Y427" s="361"/>
      <c r="Z427" s="361"/>
      <c r="AA427" s="361"/>
      <c r="AB427" s="361"/>
      <c r="AC427" s="361"/>
      <c r="AD427" s="361"/>
      <c r="AE427" s="361"/>
      <c r="AF427" s="361"/>
      <c r="AG427" s="361"/>
      <c r="AH427" s="361"/>
      <c r="AI427" s="361"/>
      <c r="AJ427" s="361"/>
      <c r="AK427" s="361"/>
      <c r="AL427" s="361"/>
      <c r="AM427" s="361"/>
      <c r="AN427" s="361"/>
      <c r="AO427" s="361"/>
      <c r="AP427" s="361"/>
      <c r="AQ427" s="361"/>
      <c r="AR427" s="361"/>
      <c r="AS427" s="361"/>
      <c r="AT427" s="361"/>
      <c r="AU427" s="361"/>
      <c r="AV427" s="350" t="s">
        <v>289</v>
      </c>
      <c r="AW427" s="350" t="s">
        <v>289</v>
      </c>
      <c r="AX427" s="350"/>
      <c r="AY427" s="356"/>
      <c r="AZ427" s="213"/>
      <c r="BA427" s="353"/>
      <c r="BB427" s="353"/>
      <c r="BC427" s="213"/>
      <c r="BD427" s="213"/>
      <c r="BE427" s="213"/>
      <c r="BF427" s="213"/>
      <c r="BG427" s="213"/>
      <c r="BH427" s="236"/>
    </row>
    <row r="428" spans="1:60" ht="42" hidden="1" customHeight="1">
      <c r="A428" s="511"/>
      <c r="B428" s="613"/>
      <c r="C428" s="614"/>
      <c r="D428" s="361">
        <v>0.5</v>
      </c>
      <c r="E428" s="366"/>
      <c r="F428" s="361">
        <v>0.5</v>
      </c>
      <c r="G428" s="414">
        <f t="shared" si="60"/>
        <v>0.5</v>
      </c>
      <c r="H428" s="413" t="s">
        <v>1094</v>
      </c>
      <c r="I428" s="413" t="s">
        <v>1095</v>
      </c>
      <c r="J428" s="413"/>
      <c r="K428" s="413" t="str">
        <f t="shared" si="61"/>
        <v xml:space="preserve">LUC, HNK, </v>
      </c>
      <c r="L428" s="413" t="str">
        <f t="shared" si="62"/>
        <v>LUC:0,25;HNK:0,25;</v>
      </c>
      <c r="M428" s="361">
        <v>0.25</v>
      </c>
      <c r="N428" s="361"/>
      <c r="O428" s="361">
        <v>0.25</v>
      </c>
      <c r="P428" s="361"/>
      <c r="Q428" s="361"/>
      <c r="R428" s="361"/>
      <c r="S428" s="361"/>
      <c r="T428" s="361"/>
      <c r="U428" s="361"/>
      <c r="V428" s="361"/>
      <c r="W428" s="361"/>
      <c r="X428" s="361"/>
      <c r="Y428" s="361"/>
      <c r="Z428" s="361"/>
      <c r="AA428" s="361"/>
      <c r="AB428" s="361"/>
      <c r="AC428" s="361"/>
      <c r="AD428" s="361"/>
      <c r="AE428" s="361"/>
      <c r="AF428" s="361"/>
      <c r="AG428" s="361"/>
      <c r="AH428" s="361"/>
      <c r="AI428" s="361"/>
      <c r="AJ428" s="361"/>
      <c r="AK428" s="361"/>
      <c r="AL428" s="361"/>
      <c r="AM428" s="361"/>
      <c r="AN428" s="361"/>
      <c r="AO428" s="361"/>
      <c r="AP428" s="361"/>
      <c r="AQ428" s="361"/>
      <c r="AR428" s="361"/>
      <c r="AS428" s="361"/>
      <c r="AT428" s="361"/>
      <c r="AU428" s="361"/>
      <c r="AV428" s="350" t="s">
        <v>309</v>
      </c>
      <c r="AW428" s="350" t="s">
        <v>309</v>
      </c>
      <c r="AX428" s="350"/>
      <c r="AY428" s="356"/>
      <c r="AZ428" s="213"/>
      <c r="BA428" s="353"/>
      <c r="BB428" s="353"/>
      <c r="BC428" s="213"/>
      <c r="BD428" s="213"/>
      <c r="BE428" s="213"/>
      <c r="BF428" s="213"/>
      <c r="BG428" s="213"/>
      <c r="BH428" s="236"/>
    </row>
    <row r="429" spans="1:60" ht="42" hidden="1" customHeight="1">
      <c r="A429" s="511"/>
      <c r="B429" s="613"/>
      <c r="C429" s="614"/>
      <c r="D429" s="361">
        <v>0.5</v>
      </c>
      <c r="E429" s="366"/>
      <c r="F429" s="361">
        <v>0.5</v>
      </c>
      <c r="G429" s="414">
        <f t="shared" si="60"/>
        <v>0.5</v>
      </c>
      <c r="H429" s="413" t="s">
        <v>11</v>
      </c>
      <c r="I429" s="413" t="s">
        <v>11</v>
      </c>
      <c r="J429" s="413"/>
      <c r="K429" s="413" t="str">
        <f t="shared" si="61"/>
        <v xml:space="preserve">HNK, </v>
      </c>
      <c r="L429" s="413" t="str">
        <f t="shared" si="62"/>
        <v>HNK:0,5;</v>
      </c>
      <c r="M429" s="361"/>
      <c r="N429" s="361"/>
      <c r="O429" s="361">
        <v>0.5</v>
      </c>
      <c r="P429" s="361"/>
      <c r="Q429" s="361"/>
      <c r="R429" s="361"/>
      <c r="S429" s="361"/>
      <c r="T429" s="361"/>
      <c r="U429" s="361"/>
      <c r="V429" s="361"/>
      <c r="W429" s="361"/>
      <c r="X429" s="361"/>
      <c r="Y429" s="361"/>
      <c r="Z429" s="361"/>
      <c r="AA429" s="361"/>
      <c r="AB429" s="361"/>
      <c r="AC429" s="361"/>
      <c r="AD429" s="361"/>
      <c r="AE429" s="361"/>
      <c r="AF429" s="361"/>
      <c r="AG429" s="361"/>
      <c r="AH429" s="361"/>
      <c r="AI429" s="361"/>
      <c r="AJ429" s="361"/>
      <c r="AK429" s="361"/>
      <c r="AL429" s="361"/>
      <c r="AM429" s="361"/>
      <c r="AN429" s="361"/>
      <c r="AO429" s="361"/>
      <c r="AP429" s="361"/>
      <c r="AQ429" s="361"/>
      <c r="AR429" s="361"/>
      <c r="AS429" s="361"/>
      <c r="AT429" s="361"/>
      <c r="AU429" s="361"/>
      <c r="AV429" s="350" t="s">
        <v>790</v>
      </c>
      <c r="AW429" s="350" t="s">
        <v>790</v>
      </c>
      <c r="AX429" s="350"/>
      <c r="AY429" s="356"/>
      <c r="AZ429" s="213"/>
      <c r="BA429" s="353"/>
      <c r="BB429" s="353"/>
      <c r="BC429" s="213"/>
      <c r="BD429" s="213"/>
      <c r="BE429" s="213"/>
      <c r="BF429" s="213"/>
      <c r="BG429" s="213"/>
      <c r="BH429" s="236"/>
    </row>
    <row r="430" spans="1:60" ht="42" hidden="1" customHeight="1">
      <c r="A430" s="511"/>
      <c r="B430" s="613"/>
      <c r="C430" s="614"/>
      <c r="D430" s="361">
        <v>0.5</v>
      </c>
      <c r="E430" s="366"/>
      <c r="F430" s="361">
        <v>0.5</v>
      </c>
      <c r="G430" s="414">
        <f t="shared" si="60"/>
        <v>0.5</v>
      </c>
      <c r="H430" s="413" t="s">
        <v>13</v>
      </c>
      <c r="I430" s="413" t="s">
        <v>13</v>
      </c>
      <c r="J430" s="413"/>
      <c r="K430" s="413" t="str">
        <f t="shared" si="61"/>
        <v xml:space="preserve">CLN, </v>
      </c>
      <c r="L430" s="413" t="str">
        <f t="shared" si="62"/>
        <v>CLN:0,5;</v>
      </c>
      <c r="M430" s="361"/>
      <c r="N430" s="361"/>
      <c r="O430" s="361"/>
      <c r="P430" s="361">
        <v>0.5</v>
      </c>
      <c r="Q430" s="361"/>
      <c r="R430" s="361"/>
      <c r="S430" s="361"/>
      <c r="T430" s="361"/>
      <c r="U430" s="361"/>
      <c r="V430" s="361"/>
      <c r="W430" s="361"/>
      <c r="X430" s="361"/>
      <c r="Y430" s="361"/>
      <c r="Z430" s="361"/>
      <c r="AA430" s="361"/>
      <c r="AB430" s="361"/>
      <c r="AC430" s="361"/>
      <c r="AD430" s="361"/>
      <c r="AE430" s="361"/>
      <c r="AF430" s="361"/>
      <c r="AG430" s="361"/>
      <c r="AH430" s="361"/>
      <c r="AI430" s="361"/>
      <c r="AJ430" s="361"/>
      <c r="AK430" s="361"/>
      <c r="AL430" s="361"/>
      <c r="AM430" s="361"/>
      <c r="AN430" s="361"/>
      <c r="AO430" s="361"/>
      <c r="AP430" s="361"/>
      <c r="AQ430" s="361"/>
      <c r="AR430" s="361"/>
      <c r="AS430" s="361"/>
      <c r="AT430" s="361"/>
      <c r="AU430" s="361"/>
      <c r="AV430" s="350" t="s">
        <v>295</v>
      </c>
      <c r="AW430" s="350" t="s">
        <v>295</v>
      </c>
      <c r="AX430" s="350"/>
      <c r="AY430" s="356"/>
      <c r="AZ430" s="213"/>
      <c r="BA430" s="353"/>
      <c r="BB430" s="353"/>
      <c r="BC430" s="213"/>
      <c r="BD430" s="213"/>
      <c r="BE430" s="213"/>
      <c r="BF430" s="213"/>
      <c r="BG430" s="213"/>
      <c r="BH430" s="236"/>
    </row>
    <row r="431" spans="1:60" ht="42" hidden="1" customHeight="1">
      <c r="A431" s="511"/>
      <c r="B431" s="613"/>
      <c r="C431" s="614"/>
      <c r="D431" s="361">
        <v>2</v>
      </c>
      <c r="E431" s="366"/>
      <c r="F431" s="361">
        <v>2</v>
      </c>
      <c r="G431" s="414">
        <f t="shared" si="60"/>
        <v>2</v>
      </c>
      <c r="H431" s="413" t="s">
        <v>1096</v>
      </c>
      <c r="I431" s="413" t="s">
        <v>1096</v>
      </c>
      <c r="J431" s="413"/>
      <c r="K431" s="413" t="str">
        <f t="shared" si="61"/>
        <v xml:space="preserve">LUK, CLN, </v>
      </c>
      <c r="L431" s="413" t="str">
        <f t="shared" si="62"/>
        <v>LUK:1;CLN:1;</v>
      </c>
      <c r="M431" s="361"/>
      <c r="N431" s="361">
        <v>1</v>
      </c>
      <c r="O431" s="361"/>
      <c r="P431" s="361">
        <v>1</v>
      </c>
      <c r="Q431" s="361"/>
      <c r="R431" s="361"/>
      <c r="S431" s="361"/>
      <c r="T431" s="361"/>
      <c r="U431" s="361"/>
      <c r="V431" s="361"/>
      <c r="W431" s="361"/>
      <c r="X431" s="361"/>
      <c r="Y431" s="361"/>
      <c r="Z431" s="361"/>
      <c r="AA431" s="361"/>
      <c r="AB431" s="361"/>
      <c r="AC431" s="361"/>
      <c r="AD431" s="361"/>
      <c r="AE431" s="361"/>
      <c r="AF431" s="361"/>
      <c r="AG431" s="361"/>
      <c r="AH431" s="361"/>
      <c r="AI431" s="361"/>
      <c r="AJ431" s="361"/>
      <c r="AK431" s="361"/>
      <c r="AL431" s="361"/>
      <c r="AM431" s="361"/>
      <c r="AN431" s="361"/>
      <c r="AO431" s="361"/>
      <c r="AP431" s="361"/>
      <c r="AQ431" s="361"/>
      <c r="AR431" s="361"/>
      <c r="AS431" s="361"/>
      <c r="AT431" s="361"/>
      <c r="AU431" s="361"/>
      <c r="AV431" s="350" t="s">
        <v>266</v>
      </c>
      <c r="AW431" s="350" t="s">
        <v>266</v>
      </c>
      <c r="AX431" s="350"/>
      <c r="AY431" s="356"/>
      <c r="AZ431" s="213"/>
      <c r="BA431" s="353"/>
      <c r="BB431" s="353"/>
      <c r="BC431" s="213"/>
      <c r="BD431" s="213"/>
      <c r="BE431" s="213"/>
      <c r="BF431" s="213"/>
      <c r="BG431" s="213"/>
      <c r="BH431" s="236"/>
    </row>
    <row r="432" spans="1:60" ht="42" hidden="1" customHeight="1">
      <c r="A432" s="511"/>
      <c r="B432" s="613"/>
      <c r="C432" s="614"/>
      <c r="D432" s="361">
        <v>0.5</v>
      </c>
      <c r="E432" s="366"/>
      <c r="F432" s="361">
        <v>0.5</v>
      </c>
      <c r="G432" s="414">
        <f t="shared" si="60"/>
        <v>0.5</v>
      </c>
      <c r="H432" s="413" t="s">
        <v>5</v>
      </c>
      <c r="I432" s="413" t="s">
        <v>7</v>
      </c>
      <c r="J432" s="413"/>
      <c r="K432" s="413" t="str">
        <f t="shared" si="61"/>
        <v xml:space="preserve">LUC, </v>
      </c>
      <c r="L432" s="413" t="str">
        <f t="shared" si="62"/>
        <v>LUC:0,5;</v>
      </c>
      <c r="M432" s="361">
        <v>0.5</v>
      </c>
      <c r="N432" s="361"/>
      <c r="O432" s="361"/>
      <c r="P432" s="361"/>
      <c r="Q432" s="361"/>
      <c r="R432" s="361"/>
      <c r="S432" s="361"/>
      <c r="T432" s="361"/>
      <c r="U432" s="361"/>
      <c r="V432" s="361"/>
      <c r="W432" s="361"/>
      <c r="X432" s="361"/>
      <c r="Y432" s="361"/>
      <c r="Z432" s="361"/>
      <c r="AA432" s="361"/>
      <c r="AB432" s="361"/>
      <c r="AC432" s="361"/>
      <c r="AD432" s="361"/>
      <c r="AE432" s="361"/>
      <c r="AF432" s="361"/>
      <c r="AG432" s="361"/>
      <c r="AH432" s="361"/>
      <c r="AI432" s="361"/>
      <c r="AJ432" s="361"/>
      <c r="AK432" s="361"/>
      <c r="AL432" s="361"/>
      <c r="AM432" s="361"/>
      <c r="AN432" s="361"/>
      <c r="AO432" s="361"/>
      <c r="AP432" s="361"/>
      <c r="AQ432" s="361"/>
      <c r="AR432" s="361"/>
      <c r="AS432" s="361"/>
      <c r="AT432" s="361"/>
      <c r="AU432" s="361"/>
      <c r="AV432" s="350" t="s">
        <v>300</v>
      </c>
      <c r="AW432" s="350" t="s">
        <v>300</v>
      </c>
      <c r="AX432" s="350"/>
      <c r="AY432" s="356"/>
      <c r="AZ432" s="213"/>
      <c r="BA432" s="353"/>
      <c r="BB432" s="353"/>
      <c r="BC432" s="213"/>
      <c r="BD432" s="213"/>
      <c r="BE432" s="213"/>
      <c r="BF432" s="213"/>
      <c r="BG432" s="213"/>
      <c r="BH432" s="236"/>
    </row>
    <row r="433" spans="1:62" s="430" customFormat="1" ht="42" customHeight="1">
      <c r="A433" s="512"/>
      <c r="B433" s="445" t="s">
        <v>1922</v>
      </c>
      <c r="C433" s="422" t="s">
        <v>88</v>
      </c>
      <c r="D433" s="419">
        <v>0.24</v>
      </c>
      <c r="E433" s="513"/>
      <c r="F433" s="419">
        <v>0.24</v>
      </c>
      <c r="G433" s="421"/>
      <c r="H433" s="420"/>
      <c r="I433" s="420"/>
      <c r="J433" s="420"/>
      <c r="K433" s="420"/>
      <c r="L433" s="420"/>
      <c r="M433" s="419"/>
      <c r="N433" s="419"/>
      <c r="O433" s="419"/>
      <c r="P433" s="419"/>
      <c r="Q433" s="419"/>
      <c r="R433" s="419"/>
      <c r="S433" s="419"/>
      <c r="T433" s="419"/>
      <c r="U433" s="419"/>
      <c r="V433" s="419"/>
      <c r="W433" s="419"/>
      <c r="X433" s="419"/>
      <c r="Y433" s="419"/>
      <c r="Z433" s="419"/>
      <c r="AA433" s="419"/>
      <c r="AB433" s="419"/>
      <c r="AC433" s="419"/>
      <c r="AD433" s="419"/>
      <c r="AE433" s="419"/>
      <c r="AF433" s="419"/>
      <c r="AG433" s="419"/>
      <c r="AH433" s="419"/>
      <c r="AI433" s="419"/>
      <c r="AJ433" s="419"/>
      <c r="AK433" s="419"/>
      <c r="AL433" s="419"/>
      <c r="AM433" s="419"/>
      <c r="AN433" s="419"/>
      <c r="AO433" s="419"/>
      <c r="AP433" s="419"/>
      <c r="AQ433" s="419"/>
      <c r="AR433" s="419"/>
      <c r="AS433" s="419"/>
      <c r="AT433" s="419"/>
      <c r="AU433" s="419"/>
      <c r="AV433" s="449" t="s">
        <v>309</v>
      </c>
      <c r="AW433" s="449"/>
      <c r="AX433" s="449"/>
      <c r="AY433" s="482"/>
      <c r="AZ433" s="514"/>
      <c r="BA433" s="515"/>
      <c r="BB433" s="515"/>
      <c r="BC433" s="514"/>
      <c r="BD433" s="514"/>
      <c r="BE433" s="514"/>
      <c r="BF433" s="514"/>
      <c r="BG433" s="514"/>
      <c r="BH433" s="516"/>
      <c r="BI433" s="429" t="s">
        <v>1859</v>
      </c>
      <c r="BJ433" s="429"/>
    </row>
    <row r="434" spans="1:62" s="430" customFormat="1" ht="42" customHeight="1">
      <c r="A434" s="512"/>
      <c r="B434" s="445" t="s">
        <v>1923</v>
      </c>
      <c r="C434" s="422" t="s">
        <v>88</v>
      </c>
      <c r="D434" s="419">
        <v>0.76</v>
      </c>
      <c r="E434" s="513"/>
      <c r="F434" s="419">
        <v>0.76</v>
      </c>
      <c r="G434" s="421"/>
      <c r="H434" s="420"/>
      <c r="I434" s="420"/>
      <c r="J434" s="420"/>
      <c r="K434" s="420"/>
      <c r="L434" s="420"/>
      <c r="M434" s="419"/>
      <c r="N434" s="419"/>
      <c r="O434" s="419"/>
      <c r="P434" s="419"/>
      <c r="Q434" s="419"/>
      <c r="R434" s="419"/>
      <c r="S434" s="419"/>
      <c r="T434" s="419"/>
      <c r="U434" s="419"/>
      <c r="V434" s="419"/>
      <c r="W434" s="419"/>
      <c r="X434" s="419"/>
      <c r="Y434" s="419"/>
      <c r="Z434" s="419"/>
      <c r="AA434" s="419"/>
      <c r="AB434" s="419"/>
      <c r="AC434" s="419"/>
      <c r="AD434" s="419"/>
      <c r="AE434" s="419"/>
      <c r="AF434" s="419"/>
      <c r="AG434" s="419"/>
      <c r="AH434" s="419"/>
      <c r="AI434" s="419"/>
      <c r="AJ434" s="419"/>
      <c r="AK434" s="419"/>
      <c r="AL434" s="419"/>
      <c r="AM434" s="419"/>
      <c r="AN434" s="419"/>
      <c r="AO434" s="419"/>
      <c r="AP434" s="419"/>
      <c r="AQ434" s="419"/>
      <c r="AR434" s="419"/>
      <c r="AS434" s="419"/>
      <c r="AT434" s="419"/>
      <c r="AU434" s="419"/>
      <c r="AV434" s="449" t="s">
        <v>309</v>
      </c>
      <c r="AW434" s="449"/>
      <c r="AX434" s="449"/>
      <c r="AY434" s="482"/>
      <c r="AZ434" s="514"/>
      <c r="BA434" s="515"/>
      <c r="BB434" s="515"/>
      <c r="BC434" s="514"/>
      <c r="BD434" s="514"/>
      <c r="BE434" s="514"/>
      <c r="BF434" s="514"/>
      <c r="BG434" s="514"/>
      <c r="BH434" s="516"/>
      <c r="BI434" s="429" t="s">
        <v>1859</v>
      </c>
      <c r="BJ434" s="429"/>
    </row>
    <row r="435" spans="1:62" s="430" customFormat="1" ht="42" customHeight="1">
      <c r="A435" s="512"/>
      <c r="B435" s="445" t="s">
        <v>1924</v>
      </c>
      <c r="C435" s="422" t="s">
        <v>88</v>
      </c>
      <c r="D435" s="419">
        <v>1.05</v>
      </c>
      <c r="E435" s="513"/>
      <c r="F435" s="419">
        <v>1.05</v>
      </c>
      <c r="G435" s="421"/>
      <c r="H435" s="420"/>
      <c r="I435" s="420"/>
      <c r="J435" s="420"/>
      <c r="K435" s="420"/>
      <c r="L435" s="420"/>
      <c r="M435" s="419"/>
      <c r="N435" s="419"/>
      <c r="O435" s="419"/>
      <c r="P435" s="419"/>
      <c r="Q435" s="419"/>
      <c r="R435" s="419"/>
      <c r="S435" s="419"/>
      <c r="T435" s="419"/>
      <c r="U435" s="419"/>
      <c r="V435" s="419"/>
      <c r="W435" s="419"/>
      <c r="X435" s="419"/>
      <c r="Y435" s="419"/>
      <c r="Z435" s="419"/>
      <c r="AA435" s="419"/>
      <c r="AB435" s="419"/>
      <c r="AC435" s="419"/>
      <c r="AD435" s="419"/>
      <c r="AE435" s="419"/>
      <c r="AF435" s="419"/>
      <c r="AG435" s="419"/>
      <c r="AH435" s="419"/>
      <c r="AI435" s="419"/>
      <c r="AJ435" s="419"/>
      <c r="AK435" s="419"/>
      <c r="AL435" s="419"/>
      <c r="AM435" s="419"/>
      <c r="AN435" s="419"/>
      <c r="AO435" s="419"/>
      <c r="AP435" s="419"/>
      <c r="AQ435" s="419"/>
      <c r="AR435" s="419"/>
      <c r="AS435" s="419"/>
      <c r="AT435" s="419"/>
      <c r="AU435" s="419"/>
      <c r="AV435" s="449" t="s">
        <v>309</v>
      </c>
      <c r="AW435" s="449"/>
      <c r="AX435" s="449"/>
      <c r="AY435" s="482"/>
      <c r="AZ435" s="514"/>
      <c r="BA435" s="515"/>
      <c r="BB435" s="515"/>
      <c r="BC435" s="514"/>
      <c r="BD435" s="514"/>
      <c r="BE435" s="514"/>
      <c r="BF435" s="514"/>
      <c r="BG435" s="514"/>
      <c r="BH435" s="516"/>
      <c r="BI435" s="429" t="s">
        <v>1859</v>
      </c>
      <c r="BJ435" s="429"/>
    </row>
    <row r="436" spans="1:62" s="430" customFormat="1" ht="42" customHeight="1">
      <c r="A436" s="512"/>
      <c r="B436" s="445" t="s">
        <v>1925</v>
      </c>
      <c r="C436" s="422" t="s">
        <v>88</v>
      </c>
      <c r="D436" s="419">
        <v>0.38</v>
      </c>
      <c r="E436" s="513"/>
      <c r="F436" s="419">
        <v>0.38</v>
      </c>
      <c r="G436" s="421"/>
      <c r="H436" s="420"/>
      <c r="I436" s="420"/>
      <c r="J436" s="420"/>
      <c r="K436" s="420"/>
      <c r="L436" s="420"/>
      <c r="M436" s="419"/>
      <c r="N436" s="419"/>
      <c r="O436" s="419"/>
      <c r="P436" s="419"/>
      <c r="Q436" s="419"/>
      <c r="R436" s="419"/>
      <c r="S436" s="419"/>
      <c r="T436" s="419"/>
      <c r="U436" s="419"/>
      <c r="V436" s="419"/>
      <c r="W436" s="419"/>
      <c r="X436" s="419"/>
      <c r="Y436" s="419"/>
      <c r="Z436" s="419"/>
      <c r="AA436" s="419"/>
      <c r="AB436" s="419"/>
      <c r="AC436" s="419"/>
      <c r="AD436" s="419"/>
      <c r="AE436" s="419"/>
      <c r="AF436" s="419"/>
      <c r="AG436" s="419"/>
      <c r="AH436" s="419"/>
      <c r="AI436" s="419"/>
      <c r="AJ436" s="419"/>
      <c r="AK436" s="419"/>
      <c r="AL436" s="419"/>
      <c r="AM436" s="419"/>
      <c r="AN436" s="419"/>
      <c r="AO436" s="419"/>
      <c r="AP436" s="419"/>
      <c r="AQ436" s="419"/>
      <c r="AR436" s="419"/>
      <c r="AS436" s="419"/>
      <c r="AT436" s="419"/>
      <c r="AU436" s="419"/>
      <c r="AV436" s="449" t="s">
        <v>309</v>
      </c>
      <c r="AW436" s="449"/>
      <c r="AX436" s="449"/>
      <c r="AY436" s="482"/>
      <c r="AZ436" s="514"/>
      <c r="BA436" s="515"/>
      <c r="BB436" s="515"/>
      <c r="BC436" s="514"/>
      <c r="BD436" s="514"/>
      <c r="BE436" s="514"/>
      <c r="BF436" s="514"/>
      <c r="BG436" s="514"/>
      <c r="BH436" s="516"/>
      <c r="BI436" s="429" t="s">
        <v>1859</v>
      </c>
      <c r="BJ436" s="429"/>
    </row>
    <row r="437" spans="1:62" s="430" customFormat="1" ht="42" customHeight="1">
      <c r="A437" s="512"/>
      <c r="B437" s="445" t="s">
        <v>1926</v>
      </c>
      <c r="C437" s="422" t="s">
        <v>88</v>
      </c>
      <c r="D437" s="419">
        <v>0.44</v>
      </c>
      <c r="E437" s="513"/>
      <c r="F437" s="419"/>
      <c r="G437" s="421"/>
      <c r="H437" s="420"/>
      <c r="I437" s="420"/>
      <c r="J437" s="420"/>
      <c r="K437" s="420"/>
      <c r="L437" s="420"/>
      <c r="M437" s="419"/>
      <c r="N437" s="419"/>
      <c r="O437" s="419"/>
      <c r="P437" s="419"/>
      <c r="Q437" s="419"/>
      <c r="R437" s="419"/>
      <c r="S437" s="419"/>
      <c r="T437" s="419"/>
      <c r="U437" s="419"/>
      <c r="V437" s="419"/>
      <c r="W437" s="419"/>
      <c r="X437" s="419"/>
      <c r="Y437" s="419"/>
      <c r="Z437" s="419"/>
      <c r="AA437" s="419"/>
      <c r="AB437" s="419"/>
      <c r="AC437" s="419"/>
      <c r="AD437" s="419"/>
      <c r="AE437" s="419"/>
      <c r="AF437" s="419"/>
      <c r="AG437" s="419"/>
      <c r="AH437" s="419"/>
      <c r="AI437" s="419"/>
      <c r="AJ437" s="419"/>
      <c r="AK437" s="419"/>
      <c r="AL437" s="419"/>
      <c r="AM437" s="419"/>
      <c r="AN437" s="419"/>
      <c r="AO437" s="419"/>
      <c r="AP437" s="419"/>
      <c r="AQ437" s="419"/>
      <c r="AR437" s="419"/>
      <c r="AS437" s="419"/>
      <c r="AT437" s="419"/>
      <c r="AU437" s="419"/>
      <c r="AV437" s="449" t="s">
        <v>1927</v>
      </c>
      <c r="AW437" s="449"/>
      <c r="AX437" s="449"/>
      <c r="AY437" s="482"/>
      <c r="AZ437" s="514"/>
      <c r="BA437" s="515"/>
      <c r="BB437" s="515"/>
      <c r="BC437" s="514"/>
      <c r="BD437" s="514"/>
      <c r="BE437" s="514"/>
      <c r="BF437" s="514"/>
      <c r="BG437" s="514"/>
      <c r="BH437" s="516"/>
      <c r="BI437" s="429" t="s">
        <v>1859</v>
      </c>
      <c r="BJ437" s="429"/>
    </row>
    <row r="438" spans="1:62" s="430" customFormat="1" ht="42" customHeight="1">
      <c r="A438" s="512"/>
      <c r="B438" s="445" t="s">
        <v>1928</v>
      </c>
      <c r="C438" s="422"/>
      <c r="D438" s="419">
        <v>0.44</v>
      </c>
      <c r="E438" s="513"/>
      <c r="F438" s="419">
        <v>0.44</v>
      </c>
      <c r="G438" s="421"/>
      <c r="H438" s="420"/>
      <c r="I438" s="420"/>
      <c r="J438" s="420"/>
      <c r="K438" s="420"/>
      <c r="L438" s="420"/>
      <c r="M438" s="419"/>
      <c r="N438" s="419"/>
      <c r="O438" s="419"/>
      <c r="P438" s="419"/>
      <c r="Q438" s="419"/>
      <c r="R438" s="419"/>
      <c r="S438" s="419"/>
      <c r="T438" s="419"/>
      <c r="U438" s="419"/>
      <c r="V438" s="419"/>
      <c r="W438" s="419"/>
      <c r="X438" s="419"/>
      <c r="Y438" s="419"/>
      <c r="Z438" s="419"/>
      <c r="AA438" s="419"/>
      <c r="AB438" s="419"/>
      <c r="AC438" s="419"/>
      <c r="AD438" s="419"/>
      <c r="AE438" s="419"/>
      <c r="AF438" s="419"/>
      <c r="AG438" s="419"/>
      <c r="AH438" s="419"/>
      <c r="AI438" s="419"/>
      <c r="AJ438" s="419"/>
      <c r="AK438" s="419"/>
      <c r="AL438" s="419"/>
      <c r="AM438" s="419"/>
      <c r="AN438" s="419"/>
      <c r="AO438" s="419"/>
      <c r="AP438" s="419"/>
      <c r="AQ438" s="419"/>
      <c r="AR438" s="419"/>
      <c r="AS438" s="419"/>
      <c r="AT438" s="419"/>
      <c r="AU438" s="419"/>
      <c r="AV438" s="449" t="s">
        <v>289</v>
      </c>
      <c r="AW438" s="449"/>
      <c r="AX438" s="449"/>
      <c r="AY438" s="482"/>
      <c r="AZ438" s="514"/>
      <c r="BA438" s="515"/>
      <c r="BB438" s="515"/>
      <c r="BC438" s="514"/>
      <c r="BD438" s="514"/>
      <c r="BE438" s="514"/>
      <c r="BF438" s="514"/>
      <c r="BG438" s="514"/>
      <c r="BH438" s="516"/>
      <c r="BI438" s="429" t="s">
        <v>1859</v>
      </c>
      <c r="BJ438" s="429"/>
    </row>
    <row r="439" spans="1:62" s="430" customFormat="1" ht="42" customHeight="1">
      <c r="A439" s="512"/>
      <c r="B439" s="445" t="s">
        <v>1929</v>
      </c>
      <c r="C439" s="422"/>
      <c r="D439" s="419">
        <v>1.39</v>
      </c>
      <c r="E439" s="513"/>
      <c r="F439" s="419">
        <v>1.39</v>
      </c>
      <c r="G439" s="421"/>
      <c r="H439" s="420"/>
      <c r="I439" s="420"/>
      <c r="J439" s="420"/>
      <c r="K439" s="420"/>
      <c r="L439" s="420"/>
      <c r="M439" s="419"/>
      <c r="N439" s="419"/>
      <c r="O439" s="419"/>
      <c r="P439" s="419"/>
      <c r="Q439" s="419"/>
      <c r="R439" s="419"/>
      <c r="S439" s="419"/>
      <c r="T439" s="419"/>
      <c r="U439" s="419"/>
      <c r="V439" s="419"/>
      <c r="W439" s="419"/>
      <c r="X439" s="419"/>
      <c r="Y439" s="419"/>
      <c r="Z439" s="419"/>
      <c r="AA439" s="419"/>
      <c r="AB439" s="419"/>
      <c r="AC439" s="419"/>
      <c r="AD439" s="419"/>
      <c r="AE439" s="419"/>
      <c r="AF439" s="419"/>
      <c r="AG439" s="419"/>
      <c r="AH439" s="419"/>
      <c r="AI439" s="419"/>
      <c r="AJ439" s="419"/>
      <c r="AK439" s="419"/>
      <c r="AL439" s="419"/>
      <c r="AM439" s="419"/>
      <c r="AN439" s="419"/>
      <c r="AO439" s="419"/>
      <c r="AP439" s="419"/>
      <c r="AQ439" s="419"/>
      <c r="AR439" s="419"/>
      <c r="AS439" s="419"/>
      <c r="AT439" s="419"/>
      <c r="AU439" s="419"/>
      <c r="AV439" s="449" t="s">
        <v>289</v>
      </c>
      <c r="AW439" s="449"/>
      <c r="AX439" s="449"/>
      <c r="AY439" s="482"/>
      <c r="AZ439" s="514"/>
      <c r="BA439" s="515"/>
      <c r="BB439" s="515"/>
      <c r="BC439" s="514"/>
      <c r="BD439" s="514"/>
      <c r="BE439" s="514"/>
      <c r="BF439" s="514"/>
      <c r="BG439" s="514"/>
      <c r="BH439" s="516"/>
      <c r="BI439" s="429" t="s">
        <v>1859</v>
      </c>
      <c r="BJ439" s="429"/>
    </row>
    <row r="440" spans="1:62" ht="35.4" customHeight="1">
      <c r="A440" s="158" t="s">
        <v>1735</v>
      </c>
      <c r="B440" s="159" t="s">
        <v>89</v>
      </c>
      <c r="C440" s="158"/>
      <c r="D440" s="351"/>
      <c r="E440" s="351"/>
      <c r="F440" s="351"/>
      <c r="G440" s="414"/>
      <c r="H440" s="413"/>
      <c r="I440" s="413"/>
      <c r="J440" s="413"/>
      <c r="K440" s="413" t="str">
        <f t="shared" si="61"/>
        <v/>
      </c>
      <c r="L440" s="413" t="str">
        <f t="shared" si="62"/>
        <v/>
      </c>
      <c r="M440" s="351"/>
      <c r="N440" s="351"/>
      <c r="O440" s="351"/>
      <c r="P440" s="351"/>
      <c r="Q440" s="351"/>
      <c r="R440" s="351"/>
      <c r="S440" s="351"/>
      <c r="T440" s="351"/>
      <c r="U440" s="351"/>
      <c r="V440" s="351"/>
      <c r="W440" s="351"/>
      <c r="X440" s="351"/>
      <c r="Y440" s="351"/>
      <c r="Z440" s="351"/>
      <c r="AA440" s="351"/>
      <c r="AB440" s="351"/>
      <c r="AC440" s="351"/>
      <c r="AD440" s="351"/>
      <c r="AE440" s="351"/>
      <c r="AF440" s="351"/>
      <c r="AG440" s="351"/>
      <c r="AH440" s="351"/>
      <c r="AI440" s="351"/>
      <c r="AJ440" s="351"/>
      <c r="AK440" s="351"/>
      <c r="AL440" s="351"/>
      <c r="AM440" s="351"/>
      <c r="AN440" s="351"/>
      <c r="AO440" s="351"/>
      <c r="AP440" s="351"/>
      <c r="AQ440" s="351"/>
      <c r="AR440" s="351"/>
      <c r="AS440" s="351"/>
      <c r="AT440" s="351"/>
      <c r="AU440" s="351"/>
      <c r="AV440" s="351"/>
      <c r="AW440" s="351"/>
      <c r="AX440" s="351"/>
      <c r="AY440" s="260"/>
      <c r="AZ440" s="181"/>
      <c r="BA440" s="351"/>
      <c r="BB440" s="351"/>
      <c r="BC440" s="156"/>
      <c r="BD440" s="156"/>
      <c r="BE440" s="156"/>
      <c r="BF440" s="156"/>
      <c r="BG440" s="156"/>
      <c r="BH440" s="351"/>
    </row>
    <row r="441" spans="1:62" s="183" customFormat="1" ht="29.25" customHeight="1">
      <c r="A441" s="167"/>
      <c r="B441" s="168" t="s">
        <v>1757</v>
      </c>
      <c r="C441" s="164"/>
      <c r="D441" s="169"/>
      <c r="E441" s="169"/>
      <c r="F441" s="169"/>
      <c r="G441" s="441"/>
      <c r="H441" s="442"/>
      <c r="I441" s="442"/>
      <c r="J441" s="442"/>
      <c r="K441" s="442"/>
      <c r="L441" s="442"/>
      <c r="M441" s="169"/>
      <c r="N441" s="169"/>
      <c r="O441" s="169"/>
      <c r="P441" s="169"/>
      <c r="Q441" s="169"/>
      <c r="R441" s="169"/>
      <c r="S441" s="169"/>
      <c r="T441" s="169"/>
      <c r="U441" s="169"/>
      <c r="V441" s="169"/>
      <c r="W441" s="169"/>
      <c r="X441" s="169"/>
      <c r="Y441" s="169"/>
      <c r="Z441" s="169"/>
      <c r="AA441" s="169"/>
      <c r="AB441" s="169"/>
      <c r="AC441" s="169"/>
      <c r="AD441" s="169"/>
      <c r="AE441" s="169"/>
      <c r="AF441" s="169"/>
      <c r="AG441" s="169"/>
      <c r="AH441" s="169"/>
      <c r="AI441" s="169"/>
      <c r="AJ441" s="169"/>
      <c r="AK441" s="169"/>
      <c r="AL441" s="169"/>
      <c r="AM441" s="169"/>
      <c r="AN441" s="169"/>
      <c r="AO441" s="169"/>
      <c r="AP441" s="169"/>
      <c r="AQ441" s="169"/>
      <c r="AR441" s="169"/>
      <c r="AS441" s="169"/>
      <c r="AT441" s="169"/>
      <c r="AU441" s="169"/>
      <c r="AV441" s="169"/>
      <c r="AW441" s="169"/>
      <c r="AX441" s="169"/>
      <c r="AY441" s="263"/>
      <c r="AZ441" s="165"/>
      <c r="BA441" s="169"/>
      <c r="BB441" s="169"/>
      <c r="BC441" s="165"/>
      <c r="BD441" s="165"/>
      <c r="BE441" s="165"/>
      <c r="BF441" s="165"/>
      <c r="BG441" s="165"/>
      <c r="BH441" s="169"/>
      <c r="BI441" s="412"/>
      <c r="BJ441" s="443"/>
    </row>
    <row r="442" spans="1:62" ht="42" customHeight="1">
      <c r="A442" s="355">
        <f>SUBTOTAL(3,C$11:$C442)</f>
        <v>301</v>
      </c>
      <c r="B442" s="362" t="s">
        <v>367</v>
      </c>
      <c r="C442" s="338" t="s">
        <v>32</v>
      </c>
      <c r="D442" s="160">
        <v>0.87</v>
      </c>
      <c r="E442" s="160">
        <v>0.87</v>
      </c>
      <c r="F442" s="186"/>
      <c r="G442" s="414">
        <f t="shared" ref="G442:G453" si="63">SUM(M442:AR442)</f>
        <v>0.87</v>
      </c>
      <c r="H442" s="413" t="s">
        <v>32</v>
      </c>
      <c r="I442" s="413" t="s">
        <v>32</v>
      </c>
      <c r="J442" s="413"/>
      <c r="K442" s="413" t="str">
        <f t="shared" ref="K442:K453" si="64">IF(M442&lt;&gt;0,$M$5&amp;", ","")&amp;IF(N442&lt;&gt;0,$N$5&amp;", ","")&amp;IF(O442&lt;&gt;0,O$5&amp;", ","")&amp;IF(P442&lt;&gt;0,P$5&amp;", ","")&amp;IF(Q442&lt;&gt;0,Q$5&amp;", ","")&amp;IF(R442&lt;&gt;0,R$5&amp;", ","")&amp;IF(S442&lt;&gt;0,S$5&amp;", ","")&amp;IF(T442&lt;&gt;0,T$5&amp;", ","")&amp;IF(U442&lt;&gt;0,U$5&amp;", ","")&amp;IF(V442&lt;&gt;0,V$5&amp;", ","")&amp;IF(W442&lt;&gt;0,W$5&amp;", ","")&amp;IF(X442&lt;&gt;0,X$5&amp;", ","")&amp;IF(Y442&lt;&gt;0,Y$5&amp;", ","")&amp;IF(Z442&lt;&gt;0,Z$5&amp;", ","")&amp;IF(AA442&lt;&gt;0,AA$5&amp;", ","")&amp;IF(AB442&lt;&gt;0,AB$5&amp;", ","")&amp;IF(AC442&lt;&gt;0,AC$5&amp;", ","")&amp;IF(AD442&lt;&gt;0,AD$5&amp;", ","")&amp;IF(AE442&lt;&gt;0,AE$5&amp;", ","")&amp;IF(AF442&lt;&gt;0,AF$5&amp;", ","")&amp;IF(AG442&lt;&gt;0,AG$5&amp;", ","")&amp;IF(AH442&lt;&gt;0,AH$5&amp;", ","")&amp;IF(AI442&lt;&gt;0,AI$5&amp;", ","")&amp;IF(AJ442&lt;&gt;0,AJ$5&amp;", ","")&amp;IF(AK442&lt;&gt;0,AK$5&amp;", ","")&amp;IF(AL442&lt;&gt;0,AL$5&amp;", ","")&amp;IF(AM442&lt;&gt;0,AM$5&amp;", ","")&amp;IF(AN442&lt;&gt;0,AN$5&amp;", ","")&amp;IF(AO442&lt;&gt;0,AO$5&amp;", ","")&amp;IF(AP442&lt;&gt;0,AP$5&amp;", ","")&amp;IF(AQ442&lt;&gt;0,AQ$5&amp;", ","")&amp;IF(AR442&lt;&gt;0,AR$5,"")&amp;IF(AS442&lt;&gt;0,AS$5,"")&amp;IF(AT442&lt;&gt;0,AT$5,"")&amp;IF(AU442&lt;&gt;0,AU$5,"")</f>
        <v xml:space="preserve">SKC, </v>
      </c>
      <c r="L442" s="413" t="str">
        <f t="shared" ref="L442:L453" si="65">IF(M442="","",$M$5&amp;":"&amp;M442&amp;";")&amp;IF(N442="","",$N$5&amp;":"&amp;N442&amp;";")&amp;IF(O442="","",$O$5&amp;":"&amp;O442&amp;";")&amp;IF(P442="","",$P$5&amp;":"&amp;P442&amp;";")&amp;IF(Q442="","",$Q$5&amp;":"&amp;Q442&amp;";")&amp;IF(R442="","",$R$5&amp;":"&amp;R442&amp;";")&amp;IF(S442="","",$S$5&amp;":"&amp;S442&amp;";")&amp;IF(T442="","",$T$5&amp;":"&amp;T442&amp;";")&amp;IF(U442="","",$U$5&amp;":"&amp;U442&amp;";")&amp;IF(V442="","",$V$5&amp;":"&amp;V442&amp;";")&amp;IF(W442="","",$W$5&amp;":"&amp;W442&amp;";")&amp;IF(X442="","",$X$5&amp;":"&amp;X442&amp;";")&amp;IF(Y442="","",$Y$5&amp;":"&amp;Y442&amp;";")&amp;IF(Z442="","",$Z$5&amp;":"&amp;Z442&amp;";")&amp;IF(AA442="","",$AA$5&amp;":"&amp;AA442&amp;";")&amp;IF(AB442="","",$AB$5&amp;":"&amp;AB442&amp;";")&amp;IF(AC442="","",$AC$5&amp;":"&amp;AC442&amp;";")&amp;IF(AD442="","",$AD$5&amp;":"&amp;AD442&amp;";")&amp;IF(AE442="","",$AE$5&amp;":"&amp;AE442&amp;";")&amp;IF(AF442="","",$AF$5&amp;":"&amp;AF442&amp;";")&amp;IF(AG442="","",$AG$5&amp;":"&amp;AG442&amp;";")&amp;IF(AH442="","",$AH$5&amp;":"&amp;AH442&amp;";")&amp;IF(AI442="","",$AI$5&amp;":"&amp;AI442&amp;";")&amp;IF(AJ442="","",$AJ$5&amp;":"&amp;AJ442&amp;";")&amp;IF(AK442="","",$AK$5&amp;":"&amp;AK442&amp;";")&amp;IF(AL442="","",$AL$5&amp;":"&amp;AL442&amp;";")&amp;IF(AM442="","",$AM$5&amp;":"&amp;AM442&amp;";")&amp;IF(AN442="","",$AN$5&amp;":"&amp;AN442&amp;";")&amp;IF(AO442="","",$AO$5&amp;":"&amp;AO442&amp;";")&amp;IF(AP442="","",$AP$5&amp;":"&amp;AP442&amp;";")&amp;IF(AQ442="","",$AQ$5&amp;":"&amp;AQ442&amp;";")&amp;IF(AR442="","",$AR$5&amp;":"&amp;AR442&amp;";")&amp;IF(AS442="","",$AS$5&amp;":"&amp;AS442&amp;";")&amp;IF(AT442="","",$AT$5&amp;":"&amp;AT442&amp;";")&amp;IF(AU442="","",$AU$5&amp;":"&amp;AU442&amp;";")</f>
        <v>SKC:0,87;</v>
      </c>
      <c r="M442" s="186"/>
      <c r="N442" s="186"/>
      <c r="O442" s="186"/>
      <c r="P442" s="186"/>
      <c r="Q442" s="186"/>
      <c r="R442" s="186"/>
      <c r="S442" s="186"/>
      <c r="T442" s="186"/>
      <c r="U442" s="186"/>
      <c r="V442" s="186">
        <v>0.87</v>
      </c>
      <c r="W442" s="186"/>
      <c r="X442" s="186"/>
      <c r="Y442" s="186"/>
      <c r="Z442" s="186"/>
      <c r="AA442" s="186"/>
      <c r="AB442" s="186"/>
      <c r="AC442" s="186"/>
      <c r="AD442" s="186"/>
      <c r="AE442" s="186"/>
      <c r="AF442" s="186"/>
      <c r="AG442" s="186"/>
      <c r="AH442" s="186"/>
      <c r="AI442" s="186"/>
      <c r="AJ442" s="186"/>
      <c r="AK442" s="186"/>
      <c r="AL442" s="186"/>
      <c r="AM442" s="186"/>
      <c r="AN442" s="186"/>
      <c r="AO442" s="186"/>
      <c r="AP442" s="186"/>
      <c r="AQ442" s="186"/>
      <c r="AR442" s="186"/>
      <c r="AS442" s="186"/>
      <c r="AT442" s="186"/>
      <c r="AU442" s="186"/>
      <c r="AV442" s="338" t="s">
        <v>217</v>
      </c>
      <c r="AW442" s="338" t="s">
        <v>217</v>
      </c>
      <c r="AX442" s="350" t="s">
        <v>368</v>
      </c>
      <c r="AY442" s="356" t="s">
        <v>368</v>
      </c>
      <c r="AZ442" s="187" t="s">
        <v>1097</v>
      </c>
      <c r="BA442" s="188"/>
      <c r="BB442" s="188"/>
      <c r="BC442" s="184" t="s">
        <v>270</v>
      </c>
      <c r="BD442" s="184"/>
      <c r="BE442" s="184"/>
      <c r="BF442" s="184" t="s">
        <v>263</v>
      </c>
      <c r="BG442" s="184"/>
      <c r="BH442" s="188"/>
    </row>
    <row r="443" spans="1:62" ht="42" customHeight="1">
      <c r="A443" s="355">
        <f>SUBTOTAL(3,C$11:$C443)</f>
        <v>302</v>
      </c>
      <c r="B443" s="362" t="s">
        <v>369</v>
      </c>
      <c r="C443" s="338" t="s">
        <v>32</v>
      </c>
      <c r="D443" s="161">
        <v>0.55000000000000004</v>
      </c>
      <c r="E443" s="161"/>
      <c r="F443" s="161">
        <v>0.55000000000000004</v>
      </c>
      <c r="G443" s="414">
        <f t="shared" si="63"/>
        <v>0.55000000000000004</v>
      </c>
      <c r="H443" s="413" t="s">
        <v>1076</v>
      </c>
      <c r="I443" s="413" t="s">
        <v>1076</v>
      </c>
      <c r="J443" s="413"/>
      <c r="K443" s="413" t="str">
        <f t="shared" si="64"/>
        <v xml:space="preserve">CLN, NTS, ONT, </v>
      </c>
      <c r="L443" s="413" t="str">
        <f t="shared" si="65"/>
        <v>CLN:0,17;NTS:0,16;ONT:0,22;</v>
      </c>
      <c r="M443" s="186"/>
      <c r="N443" s="186"/>
      <c r="O443" s="186"/>
      <c r="P443" s="161">
        <v>0.17</v>
      </c>
      <c r="Q443" s="161">
        <v>0.16</v>
      </c>
      <c r="R443" s="186"/>
      <c r="S443" s="186"/>
      <c r="T443" s="186"/>
      <c r="U443" s="186"/>
      <c r="V443" s="186"/>
      <c r="W443" s="186"/>
      <c r="X443" s="186"/>
      <c r="Y443" s="186"/>
      <c r="Z443" s="186"/>
      <c r="AA443" s="186"/>
      <c r="AB443" s="186"/>
      <c r="AC443" s="186"/>
      <c r="AD443" s="186"/>
      <c r="AE443" s="186"/>
      <c r="AF443" s="186"/>
      <c r="AG443" s="186"/>
      <c r="AH443" s="186"/>
      <c r="AI443" s="186"/>
      <c r="AJ443" s="186"/>
      <c r="AK443" s="186"/>
      <c r="AL443" s="161">
        <v>0.22</v>
      </c>
      <c r="AM443" s="186"/>
      <c r="AN443" s="186"/>
      <c r="AO443" s="186"/>
      <c r="AP443" s="186"/>
      <c r="AQ443" s="186"/>
      <c r="AR443" s="186"/>
      <c r="AS443" s="186"/>
      <c r="AT443" s="186"/>
      <c r="AU443" s="186"/>
      <c r="AV443" s="338" t="s">
        <v>370</v>
      </c>
      <c r="AW443" s="338" t="s">
        <v>370</v>
      </c>
      <c r="AX443" s="350" t="s">
        <v>371</v>
      </c>
      <c r="AY443" s="356" t="s">
        <v>371</v>
      </c>
      <c r="AZ443" s="352" t="s">
        <v>1098</v>
      </c>
      <c r="BA443" s="186"/>
      <c r="BB443" s="186"/>
      <c r="BC443" s="184" t="s">
        <v>270</v>
      </c>
      <c r="BD443" s="184"/>
      <c r="BE443" s="184"/>
      <c r="BF443" s="184" t="s">
        <v>263</v>
      </c>
      <c r="BG443" s="184"/>
      <c r="BH443" s="186"/>
    </row>
    <row r="444" spans="1:62" ht="42" customHeight="1">
      <c r="A444" s="355">
        <f>SUBTOTAL(3,C$11:$C444)</f>
        <v>303</v>
      </c>
      <c r="B444" s="362" t="s">
        <v>372</v>
      </c>
      <c r="C444" s="338" t="s">
        <v>32</v>
      </c>
      <c r="D444" s="143">
        <v>0.22</v>
      </c>
      <c r="E444" s="144"/>
      <c r="F444" s="161">
        <v>0.22</v>
      </c>
      <c r="G444" s="414">
        <f t="shared" si="63"/>
        <v>0.22</v>
      </c>
      <c r="H444" s="413" t="s">
        <v>13</v>
      </c>
      <c r="I444" s="413" t="s">
        <v>13</v>
      </c>
      <c r="J444" s="413"/>
      <c r="K444" s="413" t="str">
        <f t="shared" si="64"/>
        <v xml:space="preserve">CLN, </v>
      </c>
      <c r="L444" s="413" t="str">
        <f t="shared" si="65"/>
        <v>CLN:0,22;</v>
      </c>
      <c r="M444" s="161"/>
      <c r="N444" s="161"/>
      <c r="O444" s="161"/>
      <c r="P444" s="161">
        <v>0.22</v>
      </c>
      <c r="Q444" s="161"/>
      <c r="R444" s="161"/>
      <c r="S444" s="161"/>
      <c r="T444" s="161"/>
      <c r="U444" s="161"/>
      <c r="V444" s="161"/>
      <c r="W444" s="161"/>
      <c r="X444" s="161"/>
      <c r="Y444" s="161"/>
      <c r="Z444" s="161"/>
      <c r="AA444" s="161"/>
      <c r="AB444" s="161"/>
      <c r="AC444" s="161"/>
      <c r="AD444" s="161"/>
      <c r="AE444" s="161"/>
      <c r="AF444" s="161"/>
      <c r="AG444" s="161"/>
      <c r="AH444" s="161"/>
      <c r="AI444" s="161"/>
      <c r="AJ444" s="161"/>
      <c r="AK444" s="161"/>
      <c r="AL444" s="161"/>
      <c r="AM444" s="161"/>
      <c r="AN444" s="161"/>
      <c r="AO444" s="161"/>
      <c r="AP444" s="161"/>
      <c r="AQ444" s="161"/>
      <c r="AR444" s="161"/>
      <c r="AS444" s="161"/>
      <c r="AT444" s="161"/>
      <c r="AU444" s="161"/>
      <c r="AV444" s="338" t="s">
        <v>309</v>
      </c>
      <c r="AW444" s="338" t="s">
        <v>309</v>
      </c>
      <c r="AX444" s="350" t="s">
        <v>373</v>
      </c>
      <c r="AY444" s="356" t="s">
        <v>373</v>
      </c>
      <c r="AZ444" s="352" t="s">
        <v>1099</v>
      </c>
      <c r="BA444" s="350"/>
      <c r="BB444" s="350"/>
      <c r="BC444" s="184" t="s">
        <v>270</v>
      </c>
      <c r="BD444" s="184"/>
      <c r="BE444" s="184"/>
      <c r="BF444" s="184" t="s">
        <v>263</v>
      </c>
      <c r="BG444" s="184"/>
      <c r="BH444" s="350"/>
    </row>
    <row r="445" spans="1:62" ht="42" customHeight="1">
      <c r="A445" s="344">
        <f>SUBTOTAL(3,C$11:$C445)</f>
        <v>304</v>
      </c>
      <c r="B445" s="362" t="s">
        <v>374</v>
      </c>
      <c r="C445" s="338" t="s">
        <v>32</v>
      </c>
      <c r="D445" s="143">
        <v>0.06</v>
      </c>
      <c r="E445" s="144"/>
      <c r="F445" s="338">
        <v>0.06</v>
      </c>
      <c r="G445" s="414">
        <f t="shared" si="63"/>
        <v>0.06</v>
      </c>
      <c r="H445" s="413" t="s">
        <v>42</v>
      </c>
      <c r="I445" s="413" t="s">
        <v>42</v>
      </c>
      <c r="J445" s="413"/>
      <c r="K445" s="413" t="str">
        <f t="shared" si="64"/>
        <v xml:space="preserve">DGT, </v>
      </c>
      <c r="L445" s="413" t="str">
        <f t="shared" si="65"/>
        <v>DGT:0,06;</v>
      </c>
      <c r="M445" s="161"/>
      <c r="N445" s="161"/>
      <c r="O445" s="161"/>
      <c r="P445" s="161"/>
      <c r="Q445" s="161"/>
      <c r="R445" s="161"/>
      <c r="S445" s="161"/>
      <c r="T445" s="161"/>
      <c r="U445" s="161"/>
      <c r="V445" s="161"/>
      <c r="W445" s="161">
        <v>0.06</v>
      </c>
      <c r="X445" s="161"/>
      <c r="Y445" s="161"/>
      <c r="Z445" s="161"/>
      <c r="AA445" s="161"/>
      <c r="AB445" s="161"/>
      <c r="AC445" s="161"/>
      <c r="AD445" s="161"/>
      <c r="AE445" s="161"/>
      <c r="AF445" s="161"/>
      <c r="AG445" s="161"/>
      <c r="AH445" s="161"/>
      <c r="AI445" s="161"/>
      <c r="AJ445" s="161"/>
      <c r="AK445" s="161"/>
      <c r="AL445" s="161"/>
      <c r="AM445" s="161"/>
      <c r="AN445" s="161"/>
      <c r="AO445" s="161"/>
      <c r="AP445" s="161"/>
      <c r="AQ445" s="161"/>
      <c r="AR445" s="161"/>
      <c r="AS445" s="161"/>
      <c r="AT445" s="161"/>
      <c r="AU445" s="161"/>
      <c r="AV445" s="338" t="s">
        <v>309</v>
      </c>
      <c r="AW445" s="338" t="s">
        <v>309</v>
      </c>
      <c r="AX445" s="511" t="s">
        <v>375</v>
      </c>
      <c r="AY445" s="517" t="s">
        <v>375</v>
      </c>
      <c r="AZ445" s="518" t="s">
        <v>1100</v>
      </c>
      <c r="BA445" s="511"/>
      <c r="BB445" s="511"/>
      <c r="BC445" s="184" t="s">
        <v>270</v>
      </c>
      <c r="BD445" s="184"/>
      <c r="BE445" s="184"/>
      <c r="BF445" s="184" t="s">
        <v>263</v>
      </c>
      <c r="BG445" s="184"/>
      <c r="BH445" s="511"/>
    </row>
    <row r="446" spans="1:62" ht="63.75" customHeight="1">
      <c r="A446" s="344">
        <f>SUBTOTAL(3,C$11:$C446)</f>
        <v>305</v>
      </c>
      <c r="B446" s="362" t="s">
        <v>376</v>
      </c>
      <c r="C446" s="338" t="s">
        <v>32</v>
      </c>
      <c r="D446" s="143">
        <v>0.75090000000000001</v>
      </c>
      <c r="E446" s="143">
        <v>0.15060000000000001</v>
      </c>
      <c r="F446" s="161">
        <v>0.60029999999999994</v>
      </c>
      <c r="G446" s="414">
        <f t="shared" si="63"/>
        <v>0.60029999999999994</v>
      </c>
      <c r="H446" s="413" t="s">
        <v>5</v>
      </c>
      <c r="I446" s="413" t="s">
        <v>7</v>
      </c>
      <c r="J446" s="413"/>
      <c r="K446" s="413" t="str">
        <f t="shared" si="64"/>
        <v xml:space="preserve">LUC, </v>
      </c>
      <c r="L446" s="413" t="str">
        <f t="shared" si="65"/>
        <v>LUC:0,6003;</v>
      </c>
      <c r="M446" s="161">
        <v>0.60029999999999994</v>
      </c>
      <c r="N446" s="161"/>
      <c r="O446" s="161"/>
      <c r="P446" s="161"/>
      <c r="Q446" s="161"/>
      <c r="R446" s="161"/>
      <c r="S446" s="161"/>
      <c r="T446" s="161"/>
      <c r="U446" s="161"/>
      <c r="V446" s="161"/>
      <c r="W446" s="161"/>
      <c r="X446" s="161"/>
      <c r="Y446" s="161"/>
      <c r="Z446" s="161"/>
      <c r="AA446" s="161"/>
      <c r="AB446" s="161"/>
      <c r="AC446" s="161"/>
      <c r="AD446" s="161"/>
      <c r="AE446" s="161"/>
      <c r="AF446" s="161"/>
      <c r="AG446" s="161"/>
      <c r="AH446" s="161"/>
      <c r="AI446" s="161"/>
      <c r="AJ446" s="161"/>
      <c r="AK446" s="161"/>
      <c r="AL446" s="161"/>
      <c r="AM446" s="161"/>
      <c r="AN446" s="161"/>
      <c r="AO446" s="161"/>
      <c r="AP446" s="161"/>
      <c r="AQ446" s="161"/>
      <c r="AR446" s="161"/>
      <c r="AS446" s="161"/>
      <c r="AT446" s="161"/>
      <c r="AU446" s="161"/>
      <c r="AV446" s="350" t="s">
        <v>283</v>
      </c>
      <c r="AW446" s="350" t="s">
        <v>283</v>
      </c>
      <c r="AX446" s="350" t="s">
        <v>377</v>
      </c>
      <c r="AY446" s="356" t="s">
        <v>377</v>
      </c>
      <c r="AZ446" s="352" t="s">
        <v>1101</v>
      </c>
      <c r="BA446" s="350"/>
      <c r="BB446" s="350"/>
      <c r="BC446" s="184" t="s">
        <v>270</v>
      </c>
      <c r="BD446" s="184"/>
      <c r="BE446" s="184"/>
      <c r="BF446" s="184" t="s">
        <v>263</v>
      </c>
      <c r="BG446" s="184"/>
      <c r="BH446" s="350"/>
    </row>
    <row r="447" spans="1:62" ht="35.25" customHeight="1">
      <c r="A447" s="344">
        <f>SUBTOTAL(3,C$11:$C447)</f>
        <v>306</v>
      </c>
      <c r="B447" s="362" t="s">
        <v>376</v>
      </c>
      <c r="C447" s="338" t="s">
        <v>32</v>
      </c>
      <c r="D447" s="143">
        <v>0.31</v>
      </c>
      <c r="E447" s="143"/>
      <c r="F447" s="161">
        <v>0.31</v>
      </c>
      <c r="G447" s="414">
        <f t="shared" si="63"/>
        <v>0.31</v>
      </c>
      <c r="H447" s="413" t="s">
        <v>1102</v>
      </c>
      <c r="I447" s="413" t="s">
        <v>1103</v>
      </c>
      <c r="J447" s="413"/>
      <c r="K447" s="413" t="str">
        <f t="shared" si="64"/>
        <v xml:space="preserve">LUC, NTD, </v>
      </c>
      <c r="L447" s="413" t="str">
        <f t="shared" si="65"/>
        <v>LUC:0,29;NTD:0,02;</v>
      </c>
      <c r="M447" s="161">
        <v>0.28999999999999998</v>
      </c>
      <c r="N447" s="161"/>
      <c r="O447" s="161"/>
      <c r="P447" s="161"/>
      <c r="Q447" s="161"/>
      <c r="R447" s="161"/>
      <c r="S447" s="161"/>
      <c r="T447" s="161"/>
      <c r="U447" s="161"/>
      <c r="V447" s="161"/>
      <c r="W447" s="161"/>
      <c r="X447" s="161"/>
      <c r="Y447" s="161"/>
      <c r="Z447" s="161"/>
      <c r="AA447" s="161"/>
      <c r="AB447" s="161"/>
      <c r="AC447" s="161"/>
      <c r="AD447" s="161"/>
      <c r="AE447" s="161"/>
      <c r="AF447" s="161"/>
      <c r="AG447" s="161"/>
      <c r="AH447" s="161">
        <v>0.02</v>
      </c>
      <c r="AI447" s="161"/>
      <c r="AJ447" s="161"/>
      <c r="AK447" s="161"/>
      <c r="AL447" s="161"/>
      <c r="AM447" s="161"/>
      <c r="AN447" s="161"/>
      <c r="AO447" s="161"/>
      <c r="AP447" s="161"/>
      <c r="AQ447" s="161"/>
      <c r="AR447" s="161"/>
      <c r="AS447" s="161"/>
      <c r="AT447" s="161"/>
      <c r="AU447" s="161"/>
      <c r="AV447" s="350" t="s">
        <v>283</v>
      </c>
      <c r="AW447" s="350" t="s">
        <v>283</v>
      </c>
      <c r="AX447" s="350" t="s">
        <v>378</v>
      </c>
      <c r="AY447" s="356" t="s">
        <v>378</v>
      </c>
      <c r="AZ447" s="352" t="s">
        <v>1104</v>
      </c>
      <c r="BA447" s="350"/>
      <c r="BB447" s="350"/>
      <c r="BC447" s="184" t="s">
        <v>270</v>
      </c>
      <c r="BD447" s="184"/>
      <c r="BE447" s="184"/>
      <c r="BF447" s="184" t="s">
        <v>263</v>
      </c>
      <c r="BG447" s="184"/>
      <c r="BH447" s="350"/>
    </row>
    <row r="448" spans="1:62" ht="69.75" customHeight="1">
      <c r="A448" s="344">
        <f>SUBTOTAL(3,C$11:$C448)</f>
        <v>307</v>
      </c>
      <c r="B448" s="362" t="s">
        <v>379</v>
      </c>
      <c r="C448" s="338" t="s">
        <v>32</v>
      </c>
      <c r="D448" s="351">
        <v>34.1</v>
      </c>
      <c r="E448" s="351">
        <v>33.620000000000005</v>
      </c>
      <c r="F448" s="351">
        <v>0.48</v>
      </c>
      <c r="G448" s="414">
        <f t="shared" si="63"/>
        <v>0.48</v>
      </c>
      <c r="H448" s="413" t="s">
        <v>1105</v>
      </c>
      <c r="I448" s="413" t="s">
        <v>18</v>
      </c>
      <c r="J448" s="413" t="s">
        <v>1105</v>
      </c>
      <c r="K448" s="413" t="str">
        <f t="shared" si="64"/>
        <v xml:space="preserve">NTS, </v>
      </c>
      <c r="L448" s="413" t="str">
        <f t="shared" si="65"/>
        <v>NTS:0,48;</v>
      </c>
      <c r="M448" s="351"/>
      <c r="N448" s="351"/>
      <c r="O448" s="351"/>
      <c r="P448" s="351"/>
      <c r="Q448" s="351">
        <v>0.48</v>
      </c>
      <c r="R448" s="351"/>
      <c r="S448" s="351"/>
      <c r="T448" s="351"/>
      <c r="U448" s="351"/>
      <c r="V448" s="351"/>
      <c r="W448" s="351"/>
      <c r="X448" s="351"/>
      <c r="Y448" s="351"/>
      <c r="Z448" s="351"/>
      <c r="AA448" s="351"/>
      <c r="AB448" s="351"/>
      <c r="AC448" s="351"/>
      <c r="AD448" s="351"/>
      <c r="AE448" s="351"/>
      <c r="AF448" s="351"/>
      <c r="AG448" s="351"/>
      <c r="AH448" s="351"/>
      <c r="AI448" s="351"/>
      <c r="AJ448" s="351"/>
      <c r="AK448" s="351"/>
      <c r="AL448" s="351"/>
      <c r="AM448" s="351"/>
      <c r="AN448" s="351"/>
      <c r="AO448" s="351"/>
      <c r="AP448" s="351"/>
      <c r="AQ448" s="351"/>
      <c r="AR448" s="351"/>
      <c r="AS448" s="351"/>
      <c r="AT448" s="351"/>
      <c r="AU448" s="351"/>
      <c r="AV448" s="351" t="s">
        <v>266</v>
      </c>
      <c r="AW448" s="351" t="s">
        <v>266</v>
      </c>
      <c r="AX448" s="432" t="s">
        <v>1033</v>
      </c>
      <c r="AY448" s="433" t="s">
        <v>1033</v>
      </c>
      <c r="AZ448" s="181" t="s">
        <v>1106</v>
      </c>
      <c r="BA448" s="351"/>
      <c r="BB448" s="351"/>
      <c r="BC448" s="156" t="s">
        <v>380</v>
      </c>
      <c r="BD448" s="156"/>
      <c r="BE448" s="156"/>
      <c r="BF448" s="156"/>
      <c r="BG448" s="156" t="s">
        <v>263</v>
      </c>
      <c r="BH448" s="351"/>
    </row>
    <row r="449" spans="1:62" ht="61.5" customHeight="1">
      <c r="A449" s="344">
        <f>SUBTOTAL(3,C$11:$C449)</f>
        <v>308</v>
      </c>
      <c r="B449" s="362" t="s">
        <v>381</v>
      </c>
      <c r="C449" s="162" t="s">
        <v>32</v>
      </c>
      <c r="D449" s="351">
        <v>0.5</v>
      </c>
      <c r="E449" s="351"/>
      <c r="F449" s="351">
        <v>0.5</v>
      </c>
      <c r="G449" s="414">
        <f t="shared" si="63"/>
        <v>0.5</v>
      </c>
      <c r="H449" s="413" t="s">
        <v>1107</v>
      </c>
      <c r="I449" s="413" t="s">
        <v>1108</v>
      </c>
      <c r="J449" s="413"/>
      <c r="K449" s="413" t="str">
        <f t="shared" si="64"/>
        <v xml:space="preserve">LUC, CLN, </v>
      </c>
      <c r="L449" s="413" t="str">
        <f t="shared" si="65"/>
        <v>LUC:0,37;CLN:0,13;</v>
      </c>
      <c r="M449" s="351">
        <v>0.37</v>
      </c>
      <c r="N449" s="351"/>
      <c r="O449" s="351"/>
      <c r="P449" s="351">
        <v>0.13</v>
      </c>
      <c r="Q449" s="351"/>
      <c r="R449" s="351"/>
      <c r="S449" s="351"/>
      <c r="T449" s="351"/>
      <c r="U449" s="351"/>
      <c r="V449" s="351"/>
      <c r="W449" s="351"/>
      <c r="X449" s="351"/>
      <c r="Y449" s="351"/>
      <c r="Z449" s="351"/>
      <c r="AA449" s="351"/>
      <c r="AB449" s="351"/>
      <c r="AC449" s="351"/>
      <c r="AD449" s="351"/>
      <c r="AE449" s="351"/>
      <c r="AF449" s="351"/>
      <c r="AG449" s="351"/>
      <c r="AH449" s="351"/>
      <c r="AI449" s="351"/>
      <c r="AJ449" s="351"/>
      <c r="AK449" s="351"/>
      <c r="AL449" s="351"/>
      <c r="AM449" s="351"/>
      <c r="AN449" s="351"/>
      <c r="AO449" s="351"/>
      <c r="AP449" s="351"/>
      <c r="AQ449" s="351"/>
      <c r="AR449" s="351"/>
      <c r="AS449" s="351"/>
      <c r="AT449" s="351"/>
      <c r="AU449" s="351"/>
      <c r="AV449" s="351" t="s">
        <v>306</v>
      </c>
      <c r="AW449" s="351" t="s">
        <v>306</v>
      </c>
      <c r="AX449" s="432" t="s">
        <v>382</v>
      </c>
      <c r="AY449" s="433" t="s">
        <v>382</v>
      </c>
      <c r="AZ449" s="434" t="s">
        <v>1109</v>
      </c>
      <c r="BA449" s="432"/>
      <c r="BB449" s="432" t="s">
        <v>383</v>
      </c>
      <c r="BC449" s="478" t="s">
        <v>267</v>
      </c>
      <c r="BD449" s="478"/>
      <c r="BE449" s="478"/>
      <c r="BF449" s="478" t="s">
        <v>263</v>
      </c>
      <c r="BG449" s="478"/>
      <c r="BH449" s="432" t="s">
        <v>384</v>
      </c>
    </row>
    <row r="450" spans="1:62" ht="63" customHeight="1">
      <c r="A450" s="344">
        <f>SUBTOTAL(3,C$11:$C450)</f>
        <v>309</v>
      </c>
      <c r="B450" s="362" t="s">
        <v>385</v>
      </c>
      <c r="C450" s="162" t="s">
        <v>32</v>
      </c>
      <c r="D450" s="351">
        <v>1.39</v>
      </c>
      <c r="E450" s="351"/>
      <c r="F450" s="351">
        <v>1.39</v>
      </c>
      <c r="G450" s="414">
        <f t="shared" si="63"/>
        <v>1.39</v>
      </c>
      <c r="H450" s="413" t="s">
        <v>1094</v>
      </c>
      <c r="I450" s="413" t="s">
        <v>1095</v>
      </c>
      <c r="J450" s="413"/>
      <c r="K450" s="413" t="str">
        <f t="shared" si="64"/>
        <v xml:space="preserve">LUC, HNK, </v>
      </c>
      <c r="L450" s="413" t="str">
        <f t="shared" si="65"/>
        <v>LUC:0,85;HNK:0,54;</v>
      </c>
      <c r="M450" s="351">
        <v>0.85</v>
      </c>
      <c r="N450" s="351"/>
      <c r="O450" s="351">
        <v>0.53999999999999992</v>
      </c>
      <c r="P450" s="351"/>
      <c r="Q450" s="351"/>
      <c r="R450" s="351"/>
      <c r="S450" s="351"/>
      <c r="T450" s="351"/>
      <c r="U450" s="351"/>
      <c r="V450" s="351"/>
      <c r="W450" s="351"/>
      <c r="X450" s="351"/>
      <c r="Y450" s="351"/>
      <c r="Z450" s="351"/>
      <c r="AA450" s="351"/>
      <c r="AB450" s="351"/>
      <c r="AC450" s="351"/>
      <c r="AD450" s="351"/>
      <c r="AE450" s="351"/>
      <c r="AF450" s="351"/>
      <c r="AG450" s="351"/>
      <c r="AH450" s="351"/>
      <c r="AI450" s="351"/>
      <c r="AJ450" s="351"/>
      <c r="AK450" s="351"/>
      <c r="AL450" s="351"/>
      <c r="AM450" s="351"/>
      <c r="AN450" s="351"/>
      <c r="AO450" s="351"/>
      <c r="AP450" s="351"/>
      <c r="AQ450" s="351"/>
      <c r="AR450" s="351"/>
      <c r="AS450" s="351"/>
      <c r="AT450" s="351"/>
      <c r="AU450" s="351"/>
      <c r="AV450" s="351" t="s">
        <v>306</v>
      </c>
      <c r="AW450" s="351" t="s">
        <v>306</v>
      </c>
      <c r="AX450" s="432" t="s">
        <v>386</v>
      </c>
      <c r="AY450" s="433" t="s">
        <v>386</v>
      </c>
      <c r="AZ450" s="434" t="s">
        <v>1110</v>
      </c>
      <c r="BA450" s="432"/>
      <c r="BB450" s="432" t="s">
        <v>387</v>
      </c>
      <c r="BC450" s="478" t="s">
        <v>267</v>
      </c>
      <c r="BD450" s="478"/>
      <c r="BE450" s="478"/>
      <c r="BF450" s="478" t="s">
        <v>263</v>
      </c>
      <c r="BG450" s="478"/>
      <c r="BH450" s="432" t="s">
        <v>388</v>
      </c>
    </row>
    <row r="451" spans="1:62" ht="68.25" customHeight="1">
      <c r="A451" s="344">
        <f>SUBTOTAL(3,C$11:$C451)</f>
        <v>310</v>
      </c>
      <c r="B451" s="362" t="s">
        <v>389</v>
      </c>
      <c r="C451" s="162" t="s">
        <v>32</v>
      </c>
      <c r="D451" s="351">
        <v>1</v>
      </c>
      <c r="E451" s="351">
        <v>0.55000000000000004</v>
      </c>
      <c r="F451" s="351">
        <v>0.45</v>
      </c>
      <c r="G451" s="414">
        <f t="shared" si="63"/>
        <v>0.44550000000000001</v>
      </c>
      <c r="H451" s="413" t="s">
        <v>5</v>
      </c>
      <c r="I451" s="413" t="s">
        <v>7</v>
      </c>
      <c r="J451" s="413"/>
      <c r="K451" s="413" t="str">
        <f t="shared" si="64"/>
        <v xml:space="preserve">LUC, </v>
      </c>
      <c r="L451" s="413" t="str">
        <f t="shared" si="65"/>
        <v>LUC:0,4455;</v>
      </c>
      <c r="M451" s="351">
        <v>0.44550000000000001</v>
      </c>
      <c r="N451" s="351"/>
      <c r="O451" s="351"/>
      <c r="P451" s="351"/>
      <c r="Q451" s="351"/>
      <c r="R451" s="351"/>
      <c r="S451" s="351"/>
      <c r="T451" s="351"/>
      <c r="U451" s="351"/>
      <c r="V451" s="351"/>
      <c r="W451" s="351"/>
      <c r="X451" s="351"/>
      <c r="Y451" s="351"/>
      <c r="Z451" s="351"/>
      <c r="AA451" s="351"/>
      <c r="AB451" s="351"/>
      <c r="AC451" s="351"/>
      <c r="AD451" s="351"/>
      <c r="AE451" s="351"/>
      <c r="AF451" s="351"/>
      <c r="AG451" s="351"/>
      <c r="AH451" s="351"/>
      <c r="AI451" s="351"/>
      <c r="AJ451" s="351"/>
      <c r="AK451" s="351"/>
      <c r="AL451" s="351"/>
      <c r="AM451" s="351"/>
      <c r="AN451" s="351"/>
      <c r="AO451" s="351"/>
      <c r="AP451" s="351"/>
      <c r="AQ451" s="351"/>
      <c r="AR451" s="351"/>
      <c r="AS451" s="351"/>
      <c r="AT451" s="351"/>
      <c r="AU451" s="351"/>
      <c r="AV451" s="351" t="s">
        <v>258</v>
      </c>
      <c r="AW451" s="351" t="s">
        <v>258</v>
      </c>
      <c r="AX451" s="432" t="s">
        <v>390</v>
      </c>
      <c r="AY451" s="433" t="s">
        <v>390</v>
      </c>
      <c r="AZ451" s="434" t="s">
        <v>1111</v>
      </c>
      <c r="BA451" s="432"/>
      <c r="BB451" s="432" t="s">
        <v>391</v>
      </c>
      <c r="BC451" s="478" t="s">
        <v>267</v>
      </c>
      <c r="BD451" s="478"/>
      <c r="BE451" s="478"/>
      <c r="BF451" s="478" t="s">
        <v>263</v>
      </c>
      <c r="BG451" s="478"/>
      <c r="BH451" s="432" t="s">
        <v>392</v>
      </c>
    </row>
    <row r="452" spans="1:62" ht="42" customHeight="1">
      <c r="A452" s="344">
        <f>SUBTOTAL(3,C$11:$C452)</f>
        <v>311</v>
      </c>
      <c r="B452" s="362" t="s">
        <v>393</v>
      </c>
      <c r="C452" s="162" t="s">
        <v>32</v>
      </c>
      <c r="D452" s="351">
        <v>7.02</v>
      </c>
      <c r="E452" s="351">
        <v>6.5</v>
      </c>
      <c r="F452" s="351">
        <v>0.52</v>
      </c>
      <c r="G452" s="414">
        <f t="shared" si="63"/>
        <v>0.51943840000000008</v>
      </c>
      <c r="H452" s="413" t="s">
        <v>1112</v>
      </c>
      <c r="I452" s="413" t="s">
        <v>1050</v>
      </c>
      <c r="J452" s="413"/>
      <c r="K452" s="413" t="str">
        <f t="shared" si="64"/>
        <v xml:space="preserve">LUC, HNK, CLN, ONT, </v>
      </c>
      <c r="L452" s="413" t="str">
        <f t="shared" si="65"/>
        <v>LUC:0,2;HNK:0,0668592;CLN:0,1931488;ONT:0,0594304;</v>
      </c>
      <c r="M452" s="351">
        <v>0.2</v>
      </c>
      <c r="N452" s="351"/>
      <c r="O452" s="351">
        <f>0.09*80%*92.86%</f>
        <v>6.6859199999999994E-2</v>
      </c>
      <c r="P452" s="351">
        <f>0.26*80%*92.86%</f>
        <v>0.19314880000000001</v>
      </c>
      <c r="Q452" s="351"/>
      <c r="R452" s="351"/>
      <c r="S452" s="351"/>
      <c r="T452" s="351"/>
      <c r="U452" s="351"/>
      <c r="V452" s="351"/>
      <c r="W452" s="351"/>
      <c r="X452" s="351"/>
      <c r="Y452" s="351"/>
      <c r="Z452" s="351"/>
      <c r="AA452" s="351"/>
      <c r="AB452" s="351"/>
      <c r="AC452" s="351"/>
      <c r="AD452" s="351"/>
      <c r="AE452" s="351"/>
      <c r="AF452" s="351"/>
      <c r="AG452" s="351"/>
      <c r="AH452" s="351"/>
      <c r="AI452" s="351"/>
      <c r="AJ452" s="351"/>
      <c r="AK452" s="351"/>
      <c r="AL452" s="351">
        <f>0.08*80%*92.86%</f>
        <v>5.9430400000000001E-2</v>
      </c>
      <c r="AM452" s="351"/>
      <c r="AN452" s="351"/>
      <c r="AO452" s="351"/>
      <c r="AP452" s="351"/>
      <c r="AQ452" s="351"/>
      <c r="AR452" s="351"/>
      <c r="AS452" s="351"/>
      <c r="AT452" s="351"/>
      <c r="AU452" s="351"/>
      <c r="AV452" s="338" t="s">
        <v>309</v>
      </c>
      <c r="AW452" s="338" t="s">
        <v>309</v>
      </c>
      <c r="AX452" s="432" t="s">
        <v>394</v>
      </c>
      <c r="AY452" s="433" t="s">
        <v>394</v>
      </c>
      <c r="AZ452" s="434" t="s">
        <v>1113</v>
      </c>
      <c r="BA452" s="432"/>
      <c r="BB452" s="432" t="s">
        <v>395</v>
      </c>
      <c r="BC452" s="478" t="s">
        <v>316</v>
      </c>
      <c r="BD452" s="478"/>
      <c r="BE452" s="478"/>
      <c r="BF452" s="478" t="s">
        <v>263</v>
      </c>
      <c r="BG452" s="478"/>
      <c r="BH452" s="432" t="s">
        <v>396</v>
      </c>
    </row>
    <row r="453" spans="1:62" ht="42" customHeight="1">
      <c r="A453" s="344">
        <f>SUBTOTAL(3,C$11:$C453)</f>
        <v>312</v>
      </c>
      <c r="B453" s="362" t="s">
        <v>397</v>
      </c>
      <c r="C453" s="162" t="s">
        <v>32</v>
      </c>
      <c r="D453" s="351">
        <v>0.74</v>
      </c>
      <c r="E453" s="351">
        <v>0.74</v>
      </c>
      <c r="F453" s="185"/>
      <c r="G453" s="414">
        <f t="shared" si="63"/>
        <v>0.74</v>
      </c>
      <c r="H453" s="413" t="s">
        <v>32</v>
      </c>
      <c r="I453" s="413" t="s">
        <v>32</v>
      </c>
      <c r="J453" s="413"/>
      <c r="K453" s="413" t="str">
        <f t="shared" si="64"/>
        <v xml:space="preserve">SKC, </v>
      </c>
      <c r="L453" s="413" t="str">
        <f t="shared" si="65"/>
        <v>SKC:0,74;</v>
      </c>
      <c r="M453" s="351"/>
      <c r="N453" s="351"/>
      <c r="O453" s="351"/>
      <c r="P453" s="351"/>
      <c r="Q453" s="351"/>
      <c r="R453" s="351"/>
      <c r="S453" s="351"/>
      <c r="T453" s="351"/>
      <c r="U453" s="351"/>
      <c r="V453" s="351">
        <v>0.74</v>
      </c>
      <c r="W453" s="351"/>
      <c r="X453" s="351"/>
      <c r="Y453" s="351"/>
      <c r="Z453" s="351"/>
      <c r="AA453" s="351"/>
      <c r="AB453" s="351"/>
      <c r="AC453" s="351"/>
      <c r="AD453" s="351"/>
      <c r="AE453" s="351"/>
      <c r="AF453" s="351"/>
      <c r="AG453" s="351"/>
      <c r="AH453" s="351"/>
      <c r="AI453" s="351"/>
      <c r="AJ453" s="351"/>
      <c r="AK453" s="351"/>
      <c r="AL453" s="351"/>
      <c r="AM453" s="351"/>
      <c r="AN453" s="351"/>
      <c r="AO453" s="351"/>
      <c r="AP453" s="351"/>
      <c r="AQ453" s="351"/>
      <c r="AR453" s="351"/>
      <c r="AS453" s="351"/>
      <c r="AT453" s="351"/>
      <c r="AU453" s="351"/>
      <c r="AV453" s="351" t="s">
        <v>266</v>
      </c>
      <c r="AW453" s="351" t="s">
        <v>266</v>
      </c>
      <c r="AX453" s="351" t="s">
        <v>398</v>
      </c>
      <c r="AY453" s="260" t="s">
        <v>398</v>
      </c>
      <c r="AZ453" s="181" t="s">
        <v>1114</v>
      </c>
      <c r="BA453" s="351" t="s">
        <v>399</v>
      </c>
      <c r="BB453" s="351"/>
      <c r="BC453" s="478" t="s">
        <v>316</v>
      </c>
      <c r="BD453" s="478"/>
      <c r="BE453" s="478"/>
      <c r="BF453" s="478"/>
      <c r="BG453" s="478" t="s">
        <v>263</v>
      </c>
      <c r="BH453" s="351"/>
    </row>
    <row r="454" spans="1:62" s="183" customFormat="1" ht="29.25" customHeight="1">
      <c r="A454" s="167"/>
      <c r="B454" s="168" t="s">
        <v>1758</v>
      </c>
      <c r="C454" s="164"/>
      <c r="D454" s="169"/>
      <c r="E454" s="169"/>
      <c r="F454" s="169"/>
      <c r="G454" s="441"/>
      <c r="H454" s="442"/>
      <c r="I454" s="442"/>
      <c r="J454" s="442"/>
      <c r="K454" s="442"/>
      <c r="L454" s="442"/>
      <c r="M454" s="169"/>
      <c r="N454" s="169"/>
      <c r="O454" s="169"/>
      <c r="P454" s="169"/>
      <c r="Q454" s="169"/>
      <c r="R454" s="169"/>
      <c r="S454" s="169"/>
      <c r="T454" s="169"/>
      <c r="U454" s="169"/>
      <c r="V454" s="169"/>
      <c r="W454" s="169"/>
      <c r="X454" s="169"/>
      <c r="Y454" s="169"/>
      <c r="Z454" s="169"/>
      <c r="AA454" s="169"/>
      <c r="AB454" s="169"/>
      <c r="AC454" s="169"/>
      <c r="AD454" s="169"/>
      <c r="AE454" s="169"/>
      <c r="AF454" s="169"/>
      <c r="AG454" s="169"/>
      <c r="AH454" s="169"/>
      <c r="AI454" s="169"/>
      <c r="AJ454" s="169"/>
      <c r="AK454" s="169"/>
      <c r="AL454" s="169"/>
      <c r="AM454" s="169"/>
      <c r="AN454" s="169"/>
      <c r="AO454" s="169"/>
      <c r="AP454" s="169"/>
      <c r="AQ454" s="169"/>
      <c r="AR454" s="169"/>
      <c r="AS454" s="169"/>
      <c r="AT454" s="169"/>
      <c r="AU454" s="169"/>
      <c r="AV454" s="169"/>
      <c r="AW454" s="169"/>
      <c r="AX454" s="169"/>
      <c r="AY454" s="263"/>
      <c r="AZ454" s="165"/>
      <c r="BA454" s="169"/>
      <c r="BB454" s="169"/>
      <c r="BC454" s="165"/>
      <c r="BD454" s="165"/>
      <c r="BE454" s="165"/>
      <c r="BF454" s="165"/>
      <c r="BG454" s="165"/>
      <c r="BH454" s="169"/>
      <c r="BI454" s="412"/>
      <c r="BJ454" s="443"/>
    </row>
    <row r="455" spans="1:62" ht="49.5" customHeight="1">
      <c r="A455" s="344">
        <f>SUBTOTAL(3,C$11:$C455)</f>
        <v>313</v>
      </c>
      <c r="B455" s="363" t="s">
        <v>400</v>
      </c>
      <c r="C455" s="338" t="s">
        <v>32</v>
      </c>
      <c r="D455" s="339">
        <v>1.1000000000000001</v>
      </c>
      <c r="E455" s="339"/>
      <c r="F455" s="339">
        <v>1.1000000000000001</v>
      </c>
      <c r="G455" s="414">
        <f>SUM(M455:AR455)</f>
        <v>1.1000000000000001</v>
      </c>
      <c r="H455" s="413" t="s">
        <v>1094</v>
      </c>
      <c r="I455" s="413" t="s">
        <v>1095</v>
      </c>
      <c r="J455" s="413"/>
      <c r="K455" s="413" t="str">
        <f t="shared" ref="K455:K478" si="66">IF(M455&lt;&gt;0,$M$5&amp;", ","")&amp;IF(N455&lt;&gt;0,$N$5&amp;", ","")&amp;IF(O455&lt;&gt;0,O$5&amp;", ","")&amp;IF(P455&lt;&gt;0,P$5&amp;", ","")&amp;IF(Q455&lt;&gt;0,Q$5&amp;", ","")&amp;IF(R455&lt;&gt;0,R$5&amp;", ","")&amp;IF(S455&lt;&gt;0,S$5&amp;", ","")&amp;IF(T455&lt;&gt;0,T$5&amp;", ","")&amp;IF(U455&lt;&gt;0,U$5&amp;", ","")&amp;IF(V455&lt;&gt;0,V$5&amp;", ","")&amp;IF(W455&lt;&gt;0,W$5&amp;", ","")&amp;IF(X455&lt;&gt;0,X$5&amp;", ","")&amp;IF(Y455&lt;&gt;0,Y$5&amp;", ","")&amp;IF(Z455&lt;&gt;0,Z$5&amp;", ","")&amp;IF(AA455&lt;&gt;0,AA$5&amp;", ","")&amp;IF(AB455&lt;&gt;0,AB$5&amp;", ","")&amp;IF(AC455&lt;&gt;0,AC$5&amp;", ","")&amp;IF(AD455&lt;&gt;0,AD$5&amp;", ","")&amp;IF(AE455&lt;&gt;0,AE$5&amp;", ","")&amp;IF(AF455&lt;&gt;0,AF$5&amp;", ","")&amp;IF(AG455&lt;&gt;0,AG$5&amp;", ","")&amp;IF(AH455&lt;&gt;0,AH$5&amp;", ","")&amp;IF(AI455&lt;&gt;0,AI$5&amp;", ","")&amp;IF(AJ455&lt;&gt;0,AJ$5&amp;", ","")&amp;IF(AK455&lt;&gt;0,AK$5&amp;", ","")&amp;IF(AL455&lt;&gt;0,AL$5&amp;", ","")&amp;IF(AM455&lt;&gt;0,AM$5&amp;", ","")&amp;IF(AN455&lt;&gt;0,AN$5&amp;", ","")&amp;IF(AO455&lt;&gt;0,AO$5&amp;", ","")&amp;IF(AP455&lt;&gt;0,AP$5&amp;", ","")&amp;IF(AQ455&lt;&gt;0,AQ$5&amp;", ","")&amp;IF(AR455&lt;&gt;0,AR$5,"")&amp;IF(AS455&lt;&gt;0,AS$5,"")&amp;IF(AT455&lt;&gt;0,AT$5,"")&amp;IF(AU455&lt;&gt;0,AU$5,"")</f>
        <v xml:space="preserve">LUC, HNK, </v>
      </c>
      <c r="L455" s="413" t="str">
        <f t="shared" ref="L455:L477" si="67">IF(M455="","",$M$5&amp;":"&amp;M455&amp;";")&amp;IF(N455="","",$N$5&amp;":"&amp;N455&amp;";")&amp;IF(O455="","",$O$5&amp;":"&amp;O455&amp;";")&amp;IF(P455="","",$P$5&amp;":"&amp;P455&amp;";")&amp;IF(Q455="","",$Q$5&amp;":"&amp;Q455&amp;";")&amp;IF(R455="","",$R$5&amp;":"&amp;R455&amp;";")&amp;IF(S455="","",$S$5&amp;":"&amp;S455&amp;";")&amp;IF(T455="","",$T$5&amp;":"&amp;T455&amp;";")&amp;IF(U455="","",$U$5&amp;":"&amp;U455&amp;";")&amp;IF(V455="","",$V$5&amp;":"&amp;V455&amp;";")&amp;IF(W455="","",$W$5&amp;":"&amp;W455&amp;";")&amp;IF(X455="","",$X$5&amp;":"&amp;X455&amp;";")&amp;IF(Y455="","",$Y$5&amp;":"&amp;Y455&amp;";")&amp;IF(Z455="","",$Z$5&amp;":"&amp;Z455&amp;";")&amp;IF(AA455="","",$AA$5&amp;":"&amp;AA455&amp;";")&amp;IF(AB455="","",$AB$5&amp;":"&amp;AB455&amp;";")&amp;IF(AC455="","",$AC$5&amp;":"&amp;AC455&amp;";")&amp;IF(AD455="","",$AD$5&amp;":"&amp;AD455&amp;";")&amp;IF(AE455="","",$AE$5&amp;":"&amp;AE455&amp;";")&amp;IF(AF455="","",$AF$5&amp;":"&amp;AF455&amp;";")&amp;IF(AG455="","",$AG$5&amp;":"&amp;AG455&amp;";")&amp;IF(AH455="","",$AH$5&amp;":"&amp;AH455&amp;";")&amp;IF(AI455="","",$AI$5&amp;":"&amp;AI455&amp;";")&amp;IF(AJ455="","",$AJ$5&amp;":"&amp;AJ455&amp;";")&amp;IF(AK455="","",$AK$5&amp;":"&amp;AK455&amp;";")&amp;IF(AL455="","",$AL$5&amp;":"&amp;AL455&amp;";")&amp;IF(AM455="","",$AM$5&amp;":"&amp;AM455&amp;";")&amp;IF(AN455="","",$AN$5&amp;":"&amp;AN455&amp;";")&amp;IF(AO455="","",$AO$5&amp;":"&amp;AO455&amp;";")&amp;IF(AP455="","",$AP$5&amp;":"&amp;AP455&amp;";")&amp;IF(AQ455="","",$AQ$5&amp;":"&amp;AQ455&amp;";")&amp;IF(AR455="","",$AR$5&amp;":"&amp;AR455&amp;";")&amp;IF(AS455="","",$AS$5&amp;":"&amp;AS455&amp;";")&amp;IF(AT455="","",$AT$5&amp;":"&amp;AT455&amp;";")&amp;IF(AU455="","",$AU$5&amp;":"&amp;AU455&amp;";")</f>
        <v>LUC:0,86;HNK:0,24;</v>
      </c>
      <c r="M455" s="339">
        <v>0.86</v>
      </c>
      <c r="N455" s="339"/>
      <c r="O455" s="339">
        <v>0.24</v>
      </c>
      <c r="P455" s="339"/>
      <c r="Q455" s="339"/>
      <c r="R455" s="339"/>
      <c r="S455" s="339"/>
      <c r="T455" s="339"/>
      <c r="U455" s="339"/>
      <c r="V455" s="339"/>
      <c r="W455" s="339"/>
      <c r="X455" s="339"/>
      <c r="Y455" s="339"/>
      <c r="Z455" s="339"/>
      <c r="AA455" s="339"/>
      <c r="AB455" s="339"/>
      <c r="AC455" s="339"/>
      <c r="AD455" s="339"/>
      <c r="AE455" s="339"/>
      <c r="AF455" s="339"/>
      <c r="AG455" s="339"/>
      <c r="AH455" s="339"/>
      <c r="AI455" s="339"/>
      <c r="AJ455" s="339"/>
      <c r="AK455" s="339"/>
      <c r="AL455" s="339"/>
      <c r="AM455" s="339"/>
      <c r="AN455" s="339"/>
      <c r="AO455" s="339"/>
      <c r="AP455" s="339"/>
      <c r="AQ455" s="339"/>
      <c r="AR455" s="339"/>
      <c r="AS455" s="339"/>
      <c r="AT455" s="339"/>
      <c r="AU455" s="339"/>
      <c r="AV455" s="338" t="s">
        <v>309</v>
      </c>
      <c r="AW455" s="338" t="s">
        <v>309</v>
      </c>
      <c r="AX455" s="350" t="s">
        <v>1115</v>
      </c>
      <c r="AY455" s="356" t="s">
        <v>1115</v>
      </c>
      <c r="AZ455" s="352" t="s">
        <v>1116</v>
      </c>
      <c r="BA455" s="350" t="s">
        <v>357</v>
      </c>
      <c r="BB455" s="350"/>
      <c r="BC455" s="184"/>
      <c r="BD455" s="184"/>
      <c r="BE455" s="184"/>
      <c r="BF455" s="184"/>
      <c r="BG455" s="184"/>
      <c r="BH455" s="350"/>
    </row>
    <row r="456" spans="1:62" s="521" customFormat="1" ht="36" customHeight="1">
      <c r="A456" s="344">
        <f>SUBTOTAL(3,C$11:$C456)</f>
        <v>314</v>
      </c>
      <c r="B456" s="363" t="s">
        <v>1756</v>
      </c>
      <c r="C456" s="338" t="s">
        <v>32</v>
      </c>
      <c r="D456" s="339">
        <v>4.6500000000000004</v>
      </c>
      <c r="E456" s="339"/>
      <c r="F456" s="339">
        <v>4.6500000000000004</v>
      </c>
      <c r="G456" s="414">
        <f>SUM(M456:AR456)</f>
        <v>4.6499999999999995</v>
      </c>
      <c r="H456" s="413" t="s">
        <v>1117</v>
      </c>
      <c r="I456" s="413" t="s">
        <v>1118</v>
      </c>
      <c r="J456" s="413"/>
      <c r="K456" s="413" t="str">
        <f t="shared" si="66"/>
        <v xml:space="preserve">LUC, HNK, ONT, </v>
      </c>
      <c r="L456" s="413" t="str">
        <f t="shared" si="67"/>
        <v>LUC:2,3;HNK:2,3;ONT:0,05;</v>
      </c>
      <c r="M456" s="339">
        <v>2.2999999999999998</v>
      </c>
      <c r="N456" s="339"/>
      <c r="O456" s="339">
        <v>2.2999999999999998</v>
      </c>
      <c r="P456" s="339"/>
      <c r="Q456" s="339"/>
      <c r="R456" s="339"/>
      <c r="S456" s="339"/>
      <c r="T456" s="339"/>
      <c r="U456" s="339"/>
      <c r="V456" s="339"/>
      <c r="W456" s="339"/>
      <c r="X456" s="339"/>
      <c r="Y456" s="339"/>
      <c r="Z456" s="339"/>
      <c r="AA456" s="339"/>
      <c r="AB456" s="339"/>
      <c r="AC456" s="339"/>
      <c r="AD456" s="339"/>
      <c r="AE456" s="339"/>
      <c r="AF456" s="339"/>
      <c r="AG456" s="339"/>
      <c r="AH456" s="339"/>
      <c r="AI456" s="339"/>
      <c r="AJ456" s="339"/>
      <c r="AK456" s="339"/>
      <c r="AL456" s="339">
        <v>0.05</v>
      </c>
      <c r="AM456" s="339"/>
      <c r="AN456" s="339"/>
      <c r="AO456" s="339"/>
      <c r="AP456" s="339"/>
      <c r="AQ456" s="339"/>
      <c r="AR456" s="339"/>
      <c r="AS456" s="339"/>
      <c r="AT456" s="339"/>
      <c r="AU456" s="339"/>
      <c r="AV456" s="338" t="s">
        <v>300</v>
      </c>
      <c r="AW456" s="338" t="s">
        <v>300</v>
      </c>
      <c r="AX456" s="432" t="s">
        <v>401</v>
      </c>
      <c r="AY456" s="433" t="s">
        <v>401</v>
      </c>
      <c r="AZ456" s="434" t="s">
        <v>1119</v>
      </c>
      <c r="BA456" s="432" t="s">
        <v>357</v>
      </c>
      <c r="BB456" s="432"/>
      <c r="BC456" s="519"/>
      <c r="BD456" s="519"/>
      <c r="BE456" s="519"/>
      <c r="BF456" s="519"/>
      <c r="BG456" s="519"/>
      <c r="BH456" s="432"/>
      <c r="BI456" s="520"/>
      <c r="BJ456" s="520"/>
    </row>
    <row r="457" spans="1:62" s="528" customFormat="1" ht="36" customHeight="1">
      <c r="A457" s="444"/>
      <c r="B457" s="522" t="s">
        <v>1930</v>
      </c>
      <c r="C457" s="422" t="s">
        <v>32</v>
      </c>
      <c r="D457" s="446">
        <v>1.04</v>
      </c>
      <c r="E457" s="446"/>
      <c r="F457" s="446">
        <v>1.04</v>
      </c>
      <c r="G457" s="421"/>
      <c r="H457" s="420"/>
      <c r="I457" s="420"/>
      <c r="J457" s="420"/>
      <c r="K457" s="420"/>
      <c r="L457" s="420"/>
      <c r="M457" s="446"/>
      <c r="N457" s="446"/>
      <c r="O457" s="446"/>
      <c r="P457" s="446"/>
      <c r="Q457" s="446"/>
      <c r="R457" s="446"/>
      <c r="S457" s="446"/>
      <c r="T457" s="446"/>
      <c r="U457" s="446"/>
      <c r="V457" s="446"/>
      <c r="W457" s="446"/>
      <c r="X457" s="446"/>
      <c r="Y457" s="446"/>
      <c r="Z457" s="446"/>
      <c r="AA457" s="446"/>
      <c r="AB457" s="446"/>
      <c r="AC457" s="446"/>
      <c r="AD457" s="446"/>
      <c r="AE457" s="446"/>
      <c r="AF457" s="446"/>
      <c r="AG457" s="446"/>
      <c r="AH457" s="446"/>
      <c r="AI457" s="446"/>
      <c r="AJ457" s="446"/>
      <c r="AK457" s="446"/>
      <c r="AL457" s="446"/>
      <c r="AM457" s="446"/>
      <c r="AN457" s="446"/>
      <c r="AO457" s="446"/>
      <c r="AP457" s="446"/>
      <c r="AQ457" s="446"/>
      <c r="AR457" s="446"/>
      <c r="AS457" s="446"/>
      <c r="AT457" s="446"/>
      <c r="AU457" s="446"/>
      <c r="AV457" s="422" t="s">
        <v>309</v>
      </c>
      <c r="AW457" s="422"/>
      <c r="AX457" s="523"/>
      <c r="AY457" s="524"/>
      <c r="AZ457" s="525"/>
      <c r="BA457" s="523"/>
      <c r="BB457" s="523"/>
      <c r="BC457" s="526"/>
      <c r="BD457" s="526"/>
      <c r="BE457" s="526"/>
      <c r="BF457" s="526"/>
      <c r="BG457" s="526"/>
      <c r="BH457" s="523"/>
      <c r="BI457" s="523" t="s">
        <v>1859</v>
      </c>
      <c r="BJ457" s="527"/>
    </row>
    <row r="458" spans="1:62" s="528" customFormat="1" ht="36" customHeight="1">
      <c r="A458" s="444"/>
      <c r="B458" s="522" t="s">
        <v>1931</v>
      </c>
      <c r="C458" s="422" t="s">
        <v>32</v>
      </c>
      <c r="D458" s="446">
        <v>0.1109</v>
      </c>
      <c r="E458" s="446"/>
      <c r="F458" s="446">
        <v>0.1109</v>
      </c>
      <c r="G458" s="421"/>
      <c r="H458" s="420"/>
      <c r="I458" s="420"/>
      <c r="J458" s="420"/>
      <c r="K458" s="420"/>
      <c r="L458" s="420"/>
      <c r="M458" s="446"/>
      <c r="N458" s="446"/>
      <c r="O458" s="446"/>
      <c r="P458" s="446"/>
      <c r="Q458" s="446"/>
      <c r="R458" s="446"/>
      <c r="S458" s="446"/>
      <c r="T458" s="446"/>
      <c r="U458" s="446"/>
      <c r="V458" s="446"/>
      <c r="W458" s="446"/>
      <c r="X458" s="446"/>
      <c r="Y458" s="446"/>
      <c r="Z458" s="446"/>
      <c r="AA458" s="446"/>
      <c r="AB458" s="446"/>
      <c r="AC458" s="446"/>
      <c r="AD458" s="446"/>
      <c r="AE458" s="446"/>
      <c r="AF458" s="446"/>
      <c r="AG458" s="446"/>
      <c r="AH458" s="446"/>
      <c r="AI458" s="446"/>
      <c r="AJ458" s="446"/>
      <c r="AK458" s="446"/>
      <c r="AL458" s="446"/>
      <c r="AM458" s="446"/>
      <c r="AN458" s="446"/>
      <c r="AO458" s="446"/>
      <c r="AP458" s="446"/>
      <c r="AQ458" s="446"/>
      <c r="AR458" s="446"/>
      <c r="AS458" s="446"/>
      <c r="AT458" s="446"/>
      <c r="AU458" s="446"/>
      <c r="AV458" s="422" t="s">
        <v>309</v>
      </c>
      <c r="AW458" s="422"/>
      <c r="AX458" s="523"/>
      <c r="AY458" s="524"/>
      <c r="AZ458" s="525"/>
      <c r="BA458" s="523"/>
      <c r="BB458" s="523"/>
      <c r="BC458" s="526"/>
      <c r="BD458" s="526"/>
      <c r="BE458" s="526"/>
      <c r="BF458" s="526"/>
      <c r="BG458" s="526"/>
      <c r="BH458" s="523"/>
      <c r="BI458" s="523" t="s">
        <v>1859</v>
      </c>
      <c r="BJ458" s="527"/>
    </row>
    <row r="459" spans="1:62" s="528" customFormat="1" ht="48" customHeight="1">
      <c r="A459" s="444"/>
      <c r="B459" s="522" t="s">
        <v>1932</v>
      </c>
      <c r="C459" s="422" t="s">
        <v>32</v>
      </c>
      <c r="D459" s="446">
        <v>8.1199999999999992</v>
      </c>
      <c r="E459" s="446"/>
      <c r="F459" s="446">
        <v>8.1199999999999992</v>
      </c>
      <c r="G459" s="421"/>
      <c r="H459" s="420"/>
      <c r="I459" s="420"/>
      <c r="J459" s="420"/>
      <c r="K459" s="420"/>
      <c r="L459" s="420"/>
      <c r="M459" s="446"/>
      <c r="N459" s="446"/>
      <c r="O459" s="446"/>
      <c r="P459" s="446"/>
      <c r="Q459" s="446"/>
      <c r="R459" s="446"/>
      <c r="S459" s="446"/>
      <c r="T459" s="446"/>
      <c r="U459" s="446"/>
      <c r="V459" s="446"/>
      <c r="W459" s="446"/>
      <c r="X459" s="446"/>
      <c r="Y459" s="446"/>
      <c r="Z459" s="446"/>
      <c r="AA459" s="446"/>
      <c r="AB459" s="446"/>
      <c r="AC459" s="446"/>
      <c r="AD459" s="446"/>
      <c r="AE459" s="446"/>
      <c r="AF459" s="446"/>
      <c r="AG459" s="446"/>
      <c r="AH459" s="446"/>
      <c r="AI459" s="446"/>
      <c r="AJ459" s="446"/>
      <c r="AK459" s="446"/>
      <c r="AL459" s="446"/>
      <c r="AM459" s="446"/>
      <c r="AN459" s="446"/>
      <c r="AO459" s="446"/>
      <c r="AP459" s="446"/>
      <c r="AQ459" s="446"/>
      <c r="AR459" s="446"/>
      <c r="AS459" s="446"/>
      <c r="AT459" s="446"/>
      <c r="AU459" s="446"/>
      <c r="AV459" s="422" t="s">
        <v>309</v>
      </c>
      <c r="AW459" s="422"/>
      <c r="AX459" s="523"/>
      <c r="AY459" s="524"/>
      <c r="AZ459" s="525"/>
      <c r="BA459" s="523"/>
      <c r="BB459" s="523"/>
      <c r="BC459" s="526"/>
      <c r="BD459" s="526"/>
      <c r="BE459" s="526"/>
      <c r="BF459" s="526"/>
      <c r="BG459" s="526"/>
      <c r="BH459" s="523"/>
      <c r="BI459" s="523" t="s">
        <v>1859</v>
      </c>
      <c r="BJ459" s="527"/>
    </row>
    <row r="460" spans="1:62" s="528" customFormat="1" ht="48" customHeight="1">
      <c r="A460" s="444"/>
      <c r="B460" s="522" t="s">
        <v>1933</v>
      </c>
      <c r="C460" s="422" t="s">
        <v>32</v>
      </c>
      <c r="D460" s="446">
        <v>0.22</v>
      </c>
      <c r="E460" s="446"/>
      <c r="F460" s="446">
        <v>0.22</v>
      </c>
      <c r="G460" s="421"/>
      <c r="H460" s="420"/>
      <c r="I460" s="420"/>
      <c r="J460" s="420"/>
      <c r="K460" s="420"/>
      <c r="L460" s="420"/>
      <c r="M460" s="446"/>
      <c r="N460" s="446"/>
      <c r="O460" s="446"/>
      <c r="P460" s="446"/>
      <c r="Q460" s="446"/>
      <c r="R460" s="446"/>
      <c r="S460" s="446"/>
      <c r="T460" s="446"/>
      <c r="U460" s="446"/>
      <c r="V460" s="446"/>
      <c r="W460" s="446"/>
      <c r="X460" s="446"/>
      <c r="Y460" s="446"/>
      <c r="Z460" s="446"/>
      <c r="AA460" s="446"/>
      <c r="AB460" s="446"/>
      <c r="AC460" s="446"/>
      <c r="AD460" s="446"/>
      <c r="AE460" s="446"/>
      <c r="AF460" s="446"/>
      <c r="AG460" s="446"/>
      <c r="AH460" s="446"/>
      <c r="AI460" s="446"/>
      <c r="AJ460" s="446"/>
      <c r="AK460" s="446"/>
      <c r="AL460" s="446"/>
      <c r="AM460" s="446"/>
      <c r="AN460" s="446"/>
      <c r="AO460" s="446"/>
      <c r="AP460" s="446"/>
      <c r="AQ460" s="446"/>
      <c r="AR460" s="446"/>
      <c r="AS460" s="446"/>
      <c r="AT460" s="446"/>
      <c r="AU460" s="446"/>
      <c r="AV460" s="422" t="s">
        <v>309</v>
      </c>
      <c r="AW460" s="422"/>
      <c r="AX460" s="523"/>
      <c r="AY460" s="524"/>
      <c r="AZ460" s="525"/>
      <c r="BA460" s="523"/>
      <c r="BB460" s="523"/>
      <c r="BC460" s="526"/>
      <c r="BD460" s="526"/>
      <c r="BE460" s="526"/>
      <c r="BF460" s="526"/>
      <c r="BG460" s="526"/>
      <c r="BH460" s="523"/>
      <c r="BI460" s="523" t="s">
        <v>1859</v>
      </c>
      <c r="BJ460" s="527"/>
    </row>
    <row r="461" spans="1:62" s="528" customFormat="1" ht="48" customHeight="1">
      <c r="A461" s="444"/>
      <c r="B461" s="522" t="s">
        <v>1934</v>
      </c>
      <c r="C461" s="422" t="s">
        <v>32</v>
      </c>
      <c r="D461" s="446">
        <f>3199/10000</f>
        <v>0.31990000000000002</v>
      </c>
      <c r="E461" s="446">
        <f>3199/10000</f>
        <v>0.31990000000000002</v>
      </c>
      <c r="F461" s="446" t="s">
        <v>1935</v>
      </c>
      <c r="G461" s="421"/>
      <c r="H461" s="420"/>
      <c r="I461" s="420"/>
      <c r="J461" s="420"/>
      <c r="K461" s="420"/>
      <c r="L461" s="420"/>
      <c r="M461" s="446"/>
      <c r="N461" s="446"/>
      <c r="O461" s="446"/>
      <c r="P461" s="446"/>
      <c r="Q461" s="446"/>
      <c r="R461" s="446"/>
      <c r="S461" s="446"/>
      <c r="T461" s="446"/>
      <c r="U461" s="446"/>
      <c r="V461" s="446"/>
      <c r="W461" s="446"/>
      <c r="X461" s="446"/>
      <c r="Y461" s="446"/>
      <c r="Z461" s="446"/>
      <c r="AA461" s="446"/>
      <c r="AB461" s="446"/>
      <c r="AC461" s="446"/>
      <c r="AD461" s="446"/>
      <c r="AE461" s="446"/>
      <c r="AF461" s="446"/>
      <c r="AG461" s="446"/>
      <c r="AH461" s="446"/>
      <c r="AI461" s="446"/>
      <c r="AJ461" s="446"/>
      <c r="AK461" s="446"/>
      <c r="AL461" s="446"/>
      <c r="AM461" s="446"/>
      <c r="AN461" s="446"/>
      <c r="AO461" s="446"/>
      <c r="AP461" s="446"/>
      <c r="AQ461" s="446"/>
      <c r="AR461" s="446"/>
      <c r="AS461" s="446"/>
      <c r="AT461" s="446"/>
      <c r="AU461" s="446"/>
      <c r="AV461" s="422" t="s">
        <v>280</v>
      </c>
      <c r="AW461" s="422"/>
      <c r="AX461" s="523"/>
      <c r="AY461" s="524"/>
      <c r="AZ461" s="525"/>
      <c r="BA461" s="523"/>
      <c r="BB461" s="523"/>
      <c r="BC461" s="526"/>
      <c r="BD461" s="526"/>
      <c r="BE461" s="526"/>
      <c r="BF461" s="526"/>
      <c r="BG461" s="526"/>
      <c r="BH461" s="523"/>
      <c r="BI461" s="523" t="s">
        <v>1859</v>
      </c>
      <c r="BJ461" s="527"/>
    </row>
    <row r="462" spans="1:62" s="528" customFormat="1" ht="74.5" customHeight="1">
      <c r="A462" s="444"/>
      <c r="B462" s="522" t="s">
        <v>376</v>
      </c>
      <c r="C462" s="422" t="s">
        <v>32</v>
      </c>
      <c r="D462" s="446">
        <v>1.1399999999999999</v>
      </c>
      <c r="E462" s="446">
        <v>0.15</v>
      </c>
      <c r="F462" s="446">
        <v>0.99</v>
      </c>
      <c r="G462" s="421"/>
      <c r="H462" s="420"/>
      <c r="I462" s="420"/>
      <c r="J462" s="420"/>
      <c r="K462" s="420"/>
      <c r="L462" s="420"/>
      <c r="M462" s="446"/>
      <c r="N462" s="446"/>
      <c r="O462" s="446"/>
      <c r="P462" s="446"/>
      <c r="Q462" s="446"/>
      <c r="R462" s="446"/>
      <c r="S462" s="446"/>
      <c r="T462" s="446"/>
      <c r="U462" s="446"/>
      <c r="V462" s="446"/>
      <c r="W462" s="446"/>
      <c r="X462" s="446"/>
      <c r="Y462" s="446"/>
      <c r="Z462" s="446"/>
      <c r="AA462" s="446"/>
      <c r="AB462" s="446"/>
      <c r="AC462" s="446"/>
      <c r="AD462" s="446"/>
      <c r="AE462" s="446"/>
      <c r="AF462" s="446"/>
      <c r="AG462" s="446"/>
      <c r="AH462" s="446"/>
      <c r="AI462" s="446"/>
      <c r="AJ462" s="446"/>
      <c r="AK462" s="446"/>
      <c r="AL462" s="446"/>
      <c r="AM462" s="446"/>
      <c r="AN462" s="446"/>
      <c r="AO462" s="446"/>
      <c r="AP462" s="446"/>
      <c r="AQ462" s="446"/>
      <c r="AR462" s="446"/>
      <c r="AS462" s="446"/>
      <c r="AT462" s="446"/>
      <c r="AU462" s="446"/>
      <c r="AV462" s="422" t="s">
        <v>283</v>
      </c>
      <c r="AW462" s="422"/>
      <c r="AX462" s="523" t="s">
        <v>1936</v>
      </c>
      <c r="AY462" s="524"/>
      <c r="AZ462" s="525"/>
      <c r="BA462" s="523"/>
      <c r="BB462" s="523" t="s">
        <v>1937</v>
      </c>
      <c r="BC462" s="526"/>
      <c r="BD462" s="526"/>
      <c r="BE462" s="526"/>
      <c r="BF462" s="526"/>
      <c r="BG462" s="526"/>
      <c r="BH462" s="523"/>
      <c r="BI462" s="527"/>
      <c r="BJ462" s="527"/>
    </row>
    <row r="463" spans="1:62" s="528" customFormat="1" ht="48" customHeight="1">
      <c r="A463" s="444"/>
      <c r="B463" s="522" t="s">
        <v>376</v>
      </c>
      <c r="C463" s="422" t="s">
        <v>32</v>
      </c>
      <c r="D463" s="446">
        <v>0.25</v>
      </c>
      <c r="E463" s="446"/>
      <c r="F463" s="446"/>
      <c r="G463" s="421"/>
      <c r="H463" s="420"/>
      <c r="I463" s="420"/>
      <c r="J463" s="420"/>
      <c r="K463" s="420"/>
      <c r="L463" s="420"/>
      <c r="M463" s="446"/>
      <c r="N463" s="446"/>
      <c r="O463" s="446"/>
      <c r="P463" s="446"/>
      <c r="Q463" s="446"/>
      <c r="R463" s="446"/>
      <c r="S463" s="446"/>
      <c r="T463" s="446"/>
      <c r="U463" s="446"/>
      <c r="V463" s="446"/>
      <c r="W463" s="446"/>
      <c r="X463" s="446"/>
      <c r="Y463" s="446"/>
      <c r="Z463" s="446"/>
      <c r="AA463" s="446"/>
      <c r="AB463" s="446"/>
      <c r="AC463" s="446"/>
      <c r="AD463" s="446"/>
      <c r="AE463" s="446"/>
      <c r="AF463" s="446"/>
      <c r="AG463" s="446"/>
      <c r="AH463" s="446"/>
      <c r="AI463" s="446"/>
      <c r="AJ463" s="446"/>
      <c r="AK463" s="446"/>
      <c r="AL463" s="446"/>
      <c r="AM463" s="446"/>
      <c r="AN463" s="446"/>
      <c r="AO463" s="446"/>
      <c r="AP463" s="446"/>
      <c r="AQ463" s="446"/>
      <c r="AR463" s="446"/>
      <c r="AS463" s="446"/>
      <c r="AT463" s="446"/>
      <c r="AU463" s="446"/>
      <c r="AV463" s="422" t="s">
        <v>283</v>
      </c>
      <c r="AW463" s="422"/>
      <c r="AX463" s="523" t="s">
        <v>1938</v>
      </c>
      <c r="AY463" s="524"/>
      <c r="AZ463" s="525"/>
      <c r="BA463" s="523"/>
      <c r="BB463" s="523"/>
      <c r="BC463" s="526"/>
      <c r="BD463" s="526"/>
      <c r="BE463" s="526"/>
      <c r="BF463" s="526"/>
      <c r="BG463" s="526"/>
      <c r="BH463" s="523"/>
      <c r="BI463" s="523" t="s">
        <v>1859</v>
      </c>
      <c r="BJ463" s="527"/>
    </row>
    <row r="464" spans="1:62" s="528" customFormat="1" ht="48" customHeight="1">
      <c r="A464" s="444"/>
      <c r="B464" s="522" t="s">
        <v>376</v>
      </c>
      <c r="C464" s="422" t="s">
        <v>32</v>
      </c>
      <c r="D464" s="446">
        <v>0.24</v>
      </c>
      <c r="E464" s="446"/>
      <c r="F464" s="446"/>
      <c r="G464" s="421"/>
      <c r="H464" s="420"/>
      <c r="I464" s="420"/>
      <c r="J464" s="420"/>
      <c r="K464" s="420"/>
      <c r="L464" s="420"/>
      <c r="M464" s="446"/>
      <c r="N464" s="446"/>
      <c r="O464" s="446"/>
      <c r="P464" s="446"/>
      <c r="Q464" s="446"/>
      <c r="R464" s="446"/>
      <c r="S464" s="446"/>
      <c r="T464" s="446"/>
      <c r="U464" s="446"/>
      <c r="V464" s="446"/>
      <c r="W464" s="446"/>
      <c r="X464" s="446"/>
      <c r="Y464" s="446"/>
      <c r="Z464" s="446"/>
      <c r="AA464" s="446"/>
      <c r="AB464" s="446"/>
      <c r="AC464" s="446"/>
      <c r="AD464" s="446"/>
      <c r="AE464" s="446"/>
      <c r="AF464" s="446"/>
      <c r="AG464" s="446"/>
      <c r="AH464" s="446"/>
      <c r="AI464" s="446"/>
      <c r="AJ464" s="446"/>
      <c r="AK464" s="446"/>
      <c r="AL464" s="446"/>
      <c r="AM464" s="446"/>
      <c r="AN464" s="446"/>
      <c r="AO464" s="446"/>
      <c r="AP464" s="446"/>
      <c r="AQ464" s="446"/>
      <c r="AR464" s="446"/>
      <c r="AS464" s="446"/>
      <c r="AT464" s="446"/>
      <c r="AU464" s="446"/>
      <c r="AV464" s="422" t="s">
        <v>283</v>
      </c>
      <c r="AW464" s="422"/>
      <c r="AX464" s="523" t="s">
        <v>1939</v>
      </c>
      <c r="AY464" s="524"/>
      <c r="AZ464" s="525"/>
      <c r="BA464" s="523"/>
      <c r="BB464" s="523"/>
      <c r="BC464" s="526"/>
      <c r="BD464" s="526"/>
      <c r="BE464" s="526"/>
      <c r="BF464" s="526"/>
      <c r="BG464" s="526"/>
      <c r="BH464" s="523"/>
      <c r="BI464" s="523" t="s">
        <v>1859</v>
      </c>
      <c r="BJ464" s="527"/>
    </row>
    <row r="465" spans="1:62" s="477" customFormat="1" ht="25" customHeight="1">
      <c r="A465" s="498" t="s">
        <v>1741</v>
      </c>
      <c r="B465" s="499" t="s">
        <v>95</v>
      </c>
      <c r="C465" s="498"/>
      <c r="D465" s="472"/>
      <c r="E465" s="472"/>
      <c r="F465" s="472"/>
      <c r="G465" s="470"/>
      <c r="H465" s="471"/>
      <c r="I465" s="471"/>
      <c r="J465" s="471"/>
      <c r="K465" s="471" t="str">
        <f t="shared" si="66"/>
        <v/>
      </c>
      <c r="L465" s="471" t="str">
        <f t="shared" si="67"/>
        <v/>
      </c>
      <c r="M465" s="472"/>
      <c r="N465" s="472"/>
      <c r="O465" s="472"/>
      <c r="P465" s="472"/>
      <c r="Q465" s="472"/>
      <c r="R465" s="472"/>
      <c r="S465" s="472"/>
      <c r="T465" s="472"/>
      <c r="U465" s="472"/>
      <c r="V465" s="472"/>
      <c r="W465" s="472"/>
      <c r="X465" s="472"/>
      <c r="Y465" s="472"/>
      <c r="Z465" s="472"/>
      <c r="AA465" s="472"/>
      <c r="AB465" s="472"/>
      <c r="AC465" s="472"/>
      <c r="AD465" s="472"/>
      <c r="AE465" s="472"/>
      <c r="AF465" s="472"/>
      <c r="AG465" s="472"/>
      <c r="AH465" s="472"/>
      <c r="AI465" s="472"/>
      <c r="AJ465" s="472"/>
      <c r="AK465" s="472"/>
      <c r="AL465" s="472"/>
      <c r="AM465" s="472"/>
      <c r="AN465" s="472"/>
      <c r="AO465" s="472"/>
      <c r="AP465" s="472"/>
      <c r="AQ465" s="472"/>
      <c r="AR465" s="472"/>
      <c r="AS465" s="472"/>
      <c r="AT465" s="472"/>
      <c r="AU465" s="472"/>
      <c r="AV465" s="472"/>
      <c r="AW465" s="472"/>
      <c r="AX465" s="472"/>
      <c r="AY465" s="473"/>
      <c r="AZ465" s="474"/>
      <c r="BA465" s="472"/>
      <c r="BB465" s="472"/>
      <c r="BC465" s="475"/>
      <c r="BD465" s="475"/>
      <c r="BE465" s="475"/>
      <c r="BF465" s="475"/>
      <c r="BG465" s="475"/>
      <c r="BH465" s="472"/>
      <c r="BI465" s="476"/>
      <c r="BJ465" s="476"/>
    </row>
    <row r="466" spans="1:62" s="183" customFormat="1" ht="25.5" customHeight="1">
      <c r="A466" s="167"/>
      <c r="B466" s="168" t="s">
        <v>1758</v>
      </c>
      <c r="C466" s="164"/>
      <c r="D466" s="169"/>
      <c r="E466" s="169"/>
      <c r="F466" s="169"/>
      <c r="G466" s="441"/>
      <c r="H466" s="442"/>
      <c r="I466" s="442"/>
      <c r="J466" s="442"/>
      <c r="K466" s="442"/>
      <c r="L466" s="442"/>
      <c r="M466" s="169"/>
      <c r="N466" s="169"/>
      <c r="O466" s="169"/>
      <c r="P466" s="169"/>
      <c r="Q466" s="169"/>
      <c r="R466" s="169"/>
      <c r="S466" s="169"/>
      <c r="T466" s="169"/>
      <c r="U466" s="169"/>
      <c r="V466" s="169"/>
      <c r="W466" s="169"/>
      <c r="X466" s="169"/>
      <c r="Y466" s="169"/>
      <c r="Z466" s="169"/>
      <c r="AA466" s="169"/>
      <c r="AB466" s="169"/>
      <c r="AC466" s="169"/>
      <c r="AD466" s="169"/>
      <c r="AE466" s="169"/>
      <c r="AF466" s="169"/>
      <c r="AG466" s="169"/>
      <c r="AH466" s="169"/>
      <c r="AI466" s="169"/>
      <c r="AJ466" s="169"/>
      <c r="AK466" s="169"/>
      <c r="AL466" s="169"/>
      <c r="AM466" s="169"/>
      <c r="AN466" s="169"/>
      <c r="AO466" s="169"/>
      <c r="AP466" s="169"/>
      <c r="AQ466" s="169"/>
      <c r="AR466" s="169"/>
      <c r="AS466" s="169"/>
      <c r="AT466" s="169"/>
      <c r="AU466" s="169"/>
      <c r="AV466" s="169"/>
      <c r="AW466" s="169"/>
      <c r="AX466" s="169"/>
      <c r="AY466" s="263"/>
      <c r="AZ466" s="165"/>
      <c r="BA466" s="169"/>
      <c r="BB466" s="169"/>
      <c r="BC466" s="165"/>
      <c r="BD466" s="165"/>
      <c r="BE466" s="165"/>
      <c r="BF466" s="165"/>
      <c r="BG466" s="165"/>
      <c r="BH466" s="169"/>
      <c r="BI466" s="412"/>
      <c r="BJ466" s="443"/>
    </row>
    <row r="467" spans="1:62" ht="33" customHeight="1">
      <c r="A467" s="634">
        <f>SUBTOTAL(3,C$11:$C467)</f>
        <v>323</v>
      </c>
      <c r="B467" s="613" t="s">
        <v>973</v>
      </c>
      <c r="C467" s="614" t="s">
        <v>56</v>
      </c>
      <c r="D467" s="203">
        <v>6</v>
      </c>
      <c r="E467" s="612"/>
      <c r="F467" s="339">
        <v>6</v>
      </c>
      <c r="G467" s="414">
        <f>SUM(M467:AR467)</f>
        <v>4.2</v>
      </c>
      <c r="H467" s="413" t="s">
        <v>1072</v>
      </c>
      <c r="I467" s="413" t="s">
        <v>968</v>
      </c>
      <c r="J467" s="413"/>
      <c r="K467" s="413" t="str">
        <f t="shared" si="66"/>
        <v xml:space="preserve">LUC, HNK, CLN, </v>
      </c>
      <c r="L467" s="413" t="str">
        <f t="shared" si="67"/>
        <v>LUC:1,58;HNK:1,56;CLN:1,06;</v>
      </c>
      <c r="M467" s="339">
        <f>0.75+0.83</f>
        <v>1.58</v>
      </c>
      <c r="N467" s="339"/>
      <c r="O467" s="339">
        <f>0.72+0.84</f>
        <v>1.56</v>
      </c>
      <c r="P467" s="339">
        <f>0.48+0.58</f>
        <v>1.06</v>
      </c>
      <c r="Q467" s="339"/>
      <c r="R467" s="339"/>
      <c r="S467" s="339"/>
      <c r="T467" s="339"/>
      <c r="U467" s="339"/>
      <c r="V467" s="339"/>
      <c r="W467" s="339"/>
      <c r="X467" s="339"/>
      <c r="Y467" s="339"/>
      <c r="Z467" s="339"/>
      <c r="AA467" s="339"/>
      <c r="AB467" s="339"/>
      <c r="AC467" s="339"/>
      <c r="AD467" s="339"/>
      <c r="AE467" s="339"/>
      <c r="AF467" s="339"/>
      <c r="AG467" s="339"/>
      <c r="AH467" s="339"/>
      <c r="AI467" s="339"/>
      <c r="AJ467" s="339"/>
      <c r="AK467" s="339"/>
      <c r="AL467" s="339"/>
      <c r="AM467" s="339"/>
      <c r="AN467" s="339"/>
      <c r="AO467" s="339"/>
      <c r="AP467" s="339"/>
      <c r="AQ467" s="339"/>
      <c r="AR467" s="339"/>
      <c r="AS467" s="339"/>
      <c r="AT467" s="339"/>
      <c r="AU467" s="339"/>
      <c r="AV467" s="338" t="s">
        <v>309</v>
      </c>
      <c r="AW467" s="338" t="s">
        <v>309</v>
      </c>
      <c r="AX467" s="350"/>
      <c r="AY467" s="356"/>
      <c r="AZ467" s="352"/>
      <c r="BA467" s="350"/>
      <c r="BB467" s="350"/>
      <c r="BC467" s="636"/>
      <c r="BD467" s="340" t="s">
        <v>263</v>
      </c>
      <c r="BE467" s="340"/>
      <c r="BF467" s="340"/>
      <c r="BG467" s="340"/>
      <c r="BH467" s="240"/>
    </row>
    <row r="468" spans="1:62" ht="33" customHeight="1">
      <c r="A468" s="634"/>
      <c r="B468" s="613"/>
      <c r="C468" s="614"/>
      <c r="D468" s="203">
        <v>6</v>
      </c>
      <c r="E468" s="612"/>
      <c r="F468" s="339">
        <v>6</v>
      </c>
      <c r="G468" s="414">
        <f>SUM(M468:AR468)</f>
        <v>5</v>
      </c>
      <c r="H468" s="413" t="s">
        <v>1094</v>
      </c>
      <c r="I468" s="413" t="s">
        <v>1095</v>
      </c>
      <c r="J468" s="413"/>
      <c r="K468" s="413" t="str">
        <f t="shared" si="66"/>
        <v xml:space="preserve">LUC, HNK, </v>
      </c>
      <c r="L468" s="413" t="str">
        <f t="shared" si="67"/>
        <v>LUC:3,51851851851852;HNK:1,48148148148148;</v>
      </c>
      <c r="M468" s="339">
        <f>0.76/21.6%</f>
        <v>3.5185185185185182</v>
      </c>
      <c r="N468" s="339"/>
      <c r="O468" s="339">
        <f>0.32/21.6%</f>
        <v>1.4814814814814814</v>
      </c>
      <c r="P468" s="339"/>
      <c r="Q468" s="339"/>
      <c r="R468" s="339"/>
      <c r="S468" s="339"/>
      <c r="T468" s="339"/>
      <c r="U468" s="339"/>
      <c r="V468" s="339"/>
      <c r="W468" s="339"/>
      <c r="X468" s="339"/>
      <c r="Y468" s="339"/>
      <c r="Z468" s="339"/>
      <c r="AA468" s="339"/>
      <c r="AB468" s="339"/>
      <c r="AC468" s="339"/>
      <c r="AD468" s="339"/>
      <c r="AE468" s="339"/>
      <c r="AF468" s="339"/>
      <c r="AG468" s="339"/>
      <c r="AH468" s="339"/>
      <c r="AI468" s="339"/>
      <c r="AJ468" s="339"/>
      <c r="AK468" s="339"/>
      <c r="AL468" s="339"/>
      <c r="AM468" s="339"/>
      <c r="AN468" s="339"/>
      <c r="AO468" s="339"/>
      <c r="AP468" s="339"/>
      <c r="AQ468" s="339"/>
      <c r="AR468" s="339"/>
      <c r="AS468" s="339"/>
      <c r="AT468" s="339"/>
      <c r="AU468" s="339"/>
      <c r="AV468" s="338" t="s">
        <v>283</v>
      </c>
      <c r="AW468" s="338" t="s">
        <v>283</v>
      </c>
      <c r="AX468" s="350"/>
      <c r="AY468" s="356"/>
      <c r="AZ468" s="352"/>
      <c r="BA468" s="350"/>
      <c r="BB468" s="350"/>
      <c r="BC468" s="636"/>
      <c r="BD468" s="340"/>
      <c r="BE468" s="340"/>
      <c r="BF468" s="340" t="s">
        <v>263</v>
      </c>
      <c r="BG468" s="340"/>
      <c r="BH468" s="240"/>
    </row>
    <row r="469" spans="1:62" ht="33" customHeight="1">
      <c r="A469" s="634"/>
      <c r="B469" s="613"/>
      <c r="C469" s="614"/>
      <c r="D469" s="203">
        <v>3</v>
      </c>
      <c r="E469" s="612"/>
      <c r="F469" s="339">
        <v>3</v>
      </c>
      <c r="G469" s="414">
        <f>SUM(M469:AR469)</f>
        <v>3.0033707865168537</v>
      </c>
      <c r="H469" s="413" t="s">
        <v>1196</v>
      </c>
      <c r="I469" s="413" t="s">
        <v>968</v>
      </c>
      <c r="J469" s="413"/>
      <c r="K469" s="413" t="str">
        <f t="shared" si="66"/>
        <v xml:space="preserve">LUC, HNK, CLN, </v>
      </c>
      <c r="L469" s="413" t="str">
        <f t="shared" si="67"/>
        <v>LUC:2,7;HNK:0,213483146067416;CLN:0,0898876404494382;</v>
      </c>
      <c r="M469" s="339">
        <v>2.7</v>
      </c>
      <c r="N469" s="339"/>
      <c r="O469" s="339">
        <f>0.19/89%</f>
        <v>0.21348314606741572</v>
      </c>
      <c r="P469" s="339">
        <f>0.08/89%</f>
        <v>8.98876404494382E-2</v>
      </c>
      <c r="Q469" s="339"/>
      <c r="R469" s="339"/>
      <c r="S469" s="339"/>
      <c r="T469" s="339"/>
      <c r="U469" s="339"/>
      <c r="V469" s="339"/>
      <c r="W469" s="339"/>
      <c r="X469" s="339"/>
      <c r="Y469" s="339"/>
      <c r="Z469" s="339"/>
      <c r="AA469" s="339"/>
      <c r="AB469" s="339"/>
      <c r="AC469" s="339"/>
      <c r="AD469" s="339"/>
      <c r="AE469" s="339"/>
      <c r="AF469" s="339"/>
      <c r="AG469" s="339"/>
      <c r="AH469" s="339"/>
      <c r="AI469" s="339"/>
      <c r="AJ469" s="339"/>
      <c r="AK469" s="339"/>
      <c r="AL469" s="339"/>
      <c r="AM469" s="339"/>
      <c r="AN469" s="339"/>
      <c r="AO469" s="339"/>
      <c r="AP469" s="339"/>
      <c r="AQ469" s="339"/>
      <c r="AR469" s="339"/>
      <c r="AS469" s="339"/>
      <c r="AT469" s="339"/>
      <c r="AU469" s="339"/>
      <c r="AV469" s="338" t="s">
        <v>277</v>
      </c>
      <c r="AW469" s="338" t="s">
        <v>277</v>
      </c>
      <c r="AX469" s="350"/>
      <c r="AY469" s="356"/>
      <c r="AZ469" s="352"/>
      <c r="BA469" s="350"/>
      <c r="BB469" s="350"/>
      <c r="BC469" s="636"/>
      <c r="BD469" s="340"/>
      <c r="BE469" s="340"/>
      <c r="BF469" s="340"/>
      <c r="BG469" s="340"/>
      <c r="BH469" s="240"/>
    </row>
    <row r="470" spans="1:62" ht="33" customHeight="1">
      <c r="A470" s="634"/>
      <c r="B470" s="613"/>
      <c r="C470" s="614"/>
      <c r="D470" s="203">
        <v>7</v>
      </c>
      <c r="E470" s="612"/>
      <c r="F470" s="339">
        <v>7</v>
      </c>
      <c r="G470" s="414">
        <f t="shared" ref="G470:G477" si="68">SUM(M470:AR470)</f>
        <v>5</v>
      </c>
      <c r="H470" s="413" t="s">
        <v>1094</v>
      </c>
      <c r="I470" s="413" t="s">
        <v>1095</v>
      </c>
      <c r="J470" s="413"/>
      <c r="K470" s="413" t="str">
        <f t="shared" si="66"/>
        <v xml:space="preserve">LUC, HNK, </v>
      </c>
      <c r="L470" s="413" t="str">
        <f t="shared" si="67"/>
        <v>LUC:3,88059701492537;HNK:1,11940298507463;</v>
      </c>
      <c r="M470" s="339">
        <f>1.56/40.2%</f>
        <v>3.8805970149253732</v>
      </c>
      <c r="N470" s="339"/>
      <c r="O470" s="339">
        <f>0.45/40.2%</f>
        <v>1.1194029850746268</v>
      </c>
      <c r="P470" s="339"/>
      <c r="Q470" s="339"/>
      <c r="R470" s="339"/>
      <c r="S470" s="339"/>
      <c r="T470" s="339"/>
      <c r="U470" s="339"/>
      <c r="V470" s="339"/>
      <c r="W470" s="339"/>
      <c r="X470" s="339"/>
      <c r="Y470" s="339"/>
      <c r="Z470" s="339"/>
      <c r="AA470" s="339"/>
      <c r="AB470" s="339"/>
      <c r="AC470" s="339"/>
      <c r="AD470" s="339"/>
      <c r="AE470" s="339"/>
      <c r="AF470" s="339"/>
      <c r="AG470" s="339"/>
      <c r="AH470" s="339"/>
      <c r="AI470" s="339"/>
      <c r="AJ470" s="339"/>
      <c r="AK470" s="339"/>
      <c r="AL470" s="339"/>
      <c r="AM470" s="339"/>
      <c r="AN470" s="339"/>
      <c r="AO470" s="339"/>
      <c r="AP470" s="339"/>
      <c r="AQ470" s="339"/>
      <c r="AR470" s="339"/>
      <c r="AS470" s="339"/>
      <c r="AT470" s="339"/>
      <c r="AU470" s="339"/>
      <c r="AV470" s="338" t="s">
        <v>280</v>
      </c>
      <c r="AW470" s="338" t="s">
        <v>280</v>
      </c>
      <c r="AX470" s="350"/>
      <c r="AY470" s="356"/>
      <c r="AZ470" s="352"/>
      <c r="BA470" s="350"/>
      <c r="BB470" s="350"/>
      <c r="BC470" s="636"/>
      <c r="BD470" s="340"/>
      <c r="BE470" s="340"/>
      <c r="BF470" s="340"/>
      <c r="BG470" s="340"/>
      <c r="BH470" s="240"/>
    </row>
    <row r="471" spans="1:62" ht="33" customHeight="1">
      <c r="A471" s="634"/>
      <c r="B471" s="613"/>
      <c r="C471" s="614"/>
      <c r="D471" s="203">
        <v>5</v>
      </c>
      <c r="E471" s="612"/>
      <c r="F471" s="339">
        <v>5</v>
      </c>
      <c r="G471" s="414">
        <f t="shared" si="68"/>
        <v>4.0000000000000009</v>
      </c>
      <c r="H471" s="413" t="s">
        <v>1094</v>
      </c>
      <c r="I471" s="413" t="s">
        <v>1095</v>
      </c>
      <c r="J471" s="413"/>
      <c r="K471" s="413" t="str">
        <f t="shared" si="66"/>
        <v xml:space="preserve">LUC, HNK, </v>
      </c>
      <c r="L471" s="413" t="str">
        <f t="shared" si="67"/>
        <v>LUC:3,1044776119403;HNK:0,895522388059702;</v>
      </c>
      <c r="M471" s="339">
        <f>1.56/50.25%</f>
        <v>3.104477611940299</v>
      </c>
      <c r="N471" s="339"/>
      <c r="O471" s="339">
        <f>0.45/50.25%</f>
        <v>0.89552238805970164</v>
      </c>
      <c r="P471" s="339"/>
      <c r="Q471" s="339"/>
      <c r="R471" s="339"/>
      <c r="S471" s="339"/>
      <c r="T471" s="339"/>
      <c r="U471" s="339"/>
      <c r="V471" s="339"/>
      <c r="W471" s="339"/>
      <c r="X471" s="339"/>
      <c r="Y471" s="339"/>
      <c r="Z471" s="339"/>
      <c r="AA471" s="339"/>
      <c r="AB471" s="339"/>
      <c r="AC471" s="339"/>
      <c r="AD471" s="339"/>
      <c r="AE471" s="339"/>
      <c r="AF471" s="339"/>
      <c r="AG471" s="339"/>
      <c r="AH471" s="339"/>
      <c r="AI471" s="339"/>
      <c r="AJ471" s="339"/>
      <c r="AK471" s="339"/>
      <c r="AL471" s="339"/>
      <c r="AM471" s="339"/>
      <c r="AN471" s="339"/>
      <c r="AO471" s="339"/>
      <c r="AP471" s="339"/>
      <c r="AQ471" s="339"/>
      <c r="AR471" s="339"/>
      <c r="AS471" s="339"/>
      <c r="AT471" s="339"/>
      <c r="AU471" s="339"/>
      <c r="AV471" s="338" t="s">
        <v>289</v>
      </c>
      <c r="AW471" s="338" t="s">
        <v>289</v>
      </c>
      <c r="AX471" s="350"/>
      <c r="AY471" s="356"/>
      <c r="AZ471" s="352"/>
      <c r="BA471" s="350"/>
      <c r="BB471" s="350"/>
      <c r="BC471" s="636"/>
      <c r="BD471" s="340"/>
      <c r="BE471" s="340"/>
      <c r="BF471" s="340"/>
      <c r="BG471" s="340"/>
      <c r="BH471" s="240"/>
    </row>
    <row r="472" spans="1:62" ht="33" customHeight="1">
      <c r="A472" s="634"/>
      <c r="B472" s="613"/>
      <c r="C472" s="614"/>
      <c r="D472" s="203">
        <v>7</v>
      </c>
      <c r="E472" s="612"/>
      <c r="F472" s="339">
        <v>7</v>
      </c>
      <c r="G472" s="414">
        <f t="shared" si="68"/>
        <v>4.0012590000000001</v>
      </c>
      <c r="H472" s="413" t="s">
        <v>1196</v>
      </c>
      <c r="I472" s="413" t="s">
        <v>968</v>
      </c>
      <c r="J472" s="413"/>
      <c r="K472" s="413" t="str">
        <f t="shared" si="66"/>
        <v xml:space="preserve">LUC, HNK, CLN, </v>
      </c>
      <c r="L472" s="413" t="str">
        <f t="shared" si="67"/>
        <v>LUC:2,22;HNK:1,692513;CLN:0,088746;</v>
      </c>
      <c r="M472" s="339">
        <v>2.2200000000000002</v>
      </c>
      <c r="N472" s="339"/>
      <c r="O472" s="339">
        <f>2.67*63.39%</f>
        <v>1.6925129999999999</v>
      </c>
      <c r="P472" s="339">
        <f>0.14*63.39%</f>
        <v>8.8746000000000005E-2</v>
      </c>
      <c r="Q472" s="339"/>
      <c r="R472" s="339"/>
      <c r="S472" s="339"/>
      <c r="T472" s="339"/>
      <c r="U472" s="339"/>
      <c r="V472" s="339"/>
      <c r="W472" s="339"/>
      <c r="X472" s="339"/>
      <c r="Y472" s="339"/>
      <c r="Z472" s="339"/>
      <c r="AA472" s="339"/>
      <c r="AB472" s="339"/>
      <c r="AC472" s="339"/>
      <c r="AD472" s="339"/>
      <c r="AE472" s="339"/>
      <c r="AF472" s="339"/>
      <c r="AG472" s="339"/>
      <c r="AH472" s="339"/>
      <c r="AI472" s="339"/>
      <c r="AJ472" s="339"/>
      <c r="AK472" s="339"/>
      <c r="AL472" s="339"/>
      <c r="AM472" s="339"/>
      <c r="AN472" s="339"/>
      <c r="AO472" s="339"/>
      <c r="AP472" s="339"/>
      <c r="AQ472" s="339"/>
      <c r="AR472" s="339"/>
      <c r="AS472" s="339"/>
      <c r="AT472" s="339"/>
      <c r="AU472" s="339"/>
      <c r="AV472" s="338" t="s">
        <v>306</v>
      </c>
      <c r="AW472" s="338" t="s">
        <v>306</v>
      </c>
      <c r="AX472" s="350"/>
      <c r="AY472" s="356"/>
      <c r="AZ472" s="352"/>
      <c r="BA472" s="350"/>
      <c r="BB472" s="350"/>
      <c r="BC472" s="636"/>
      <c r="BD472" s="340"/>
      <c r="BE472" s="340"/>
      <c r="BF472" s="340"/>
      <c r="BG472" s="340"/>
      <c r="BH472" s="240"/>
    </row>
    <row r="473" spans="1:62" ht="33" customHeight="1">
      <c r="A473" s="634"/>
      <c r="B473" s="613"/>
      <c r="C473" s="614"/>
      <c r="D473" s="203">
        <v>4</v>
      </c>
      <c r="E473" s="612"/>
      <c r="F473" s="339">
        <v>4</v>
      </c>
      <c r="G473" s="414">
        <f t="shared" si="68"/>
        <v>3.0008504084639078</v>
      </c>
      <c r="H473" s="413" t="s">
        <v>1196</v>
      </c>
      <c r="I473" s="413" t="s">
        <v>968</v>
      </c>
      <c r="J473" s="413"/>
      <c r="K473" s="413" t="str">
        <f t="shared" si="66"/>
        <v xml:space="preserve">LUC, HNK, CLN, </v>
      </c>
      <c r="L473" s="413" t="str">
        <f t="shared" si="67"/>
        <v>LUC:2,05;HNK:0,910673630641489;CLN:0,0401767778224186;</v>
      </c>
      <c r="M473" s="339">
        <v>2.0499999999999998</v>
      </c>
      <c r="N473" s="339"/>
      <c r="O473" s="339">
        <f>0.68/74.67%</f>
        <v>0.91067363064148921</v>
      </c>
      <c r="P473" s="339">
        <f>0.03/74.67%</f>
        <v>4.0176777822418637E-2</v>
      </c>
      <c r="Q473" s="339"/>
      <c r="R473" s="339"/>
      <c r="S473" s="339"/>
      <c r="T473" s="339"/>
      <c r="U473" s="339"/>
      <c r="V473" s="339"/>
      <c r="W473" s="339"/>
      <c r="X473" s="339"/>
      <c r="Y473" s="339"/>
      <c r="Z473" s="339"/>
      <c r="AA473" s="339"/>
      <c r="AB473" s="339"/>
      <c r="AC473" s="339"/>
      <c r="AD473" s="339"/>
      <c r="AE473" s="339"/>
      <c r="AF473" s="339"/>
      <c r="AG473" s="339"/>
      <c r="AH473" s="339"/>
      <c r="AI473" s="339"/>
      <c r="AJ473" s="339"/>
      <c r="AK473" s="339"/>
      <c r="AL473" s="339"/>
      <c r="AM473" s="339"/>
      <c r="AN473" s="339"/>
      <c r="AO473" s="339"/>
      <c r="AP473" s="339"/>
      <c r="AQ473" s="339"/>
      <c r="AR473" s="339"/>
      <c r="AS473" s="339"/>
      <c r="AT473" s="339"/>
      <c r="AU473" s="339"/>
      <c r="AV473" s="338" t="s">
        <v>300</v>
      </c>
      <c r="AW473" s="338" t="s">
        <v>300</v>
      </c>
      <c r="AX473" s="350"/>
      <c r="AY473" s="356"/>
      <c r="AZ473" s="352"/>
      <c r="BA473" s="350"/>
      <c r="BB473" s="350"/>
      <c r="BC473" s="636"/>
      <c r="BD473" s="340"/>
      <c r="BE473" s="340"/>
      <c r="BF473" s="340"/>
      <c r="BG473" s="340"/>
      <c r="BH473" s="240"/>
    </row>
    <row r="474" spans="1:62" ht="33" customHeight="1">
      <c r="A474" s="634"/>
      <c r="B474" s="613"/>
      <c r="C474" s="614"/>
      <c r="D474" s="203">
        <v>4</v>
      </c>
      <c r="E474" s="612"/>
      <c r="F474" s="339">
        <v>4</v>
      </c>
      <c r="G474" s="414">
        <f t="shared" si="68"/>
        <v>4</v>
      </c>
      <c r="H474" s="413" t="s">
        <v>1196</v>
      </c>
      <c r="I474" s="413" t="s">
        <v>968</v>
      </c>
      <c r="J474" s="413"/>
      <c r="K474" s="413" t="str">
        <f t="shared" si="66"/>
        <v xml:space="preserve">LUC, HNK, CLN, </v>
      </c>
      <c r="L474" s="413" t="str">
        <f t="shared" si="67"/>
        <v>LUC:2,4;HNK:1,4;CLN:0,2;</v>
      </c>
      <c r="M474" s="339">
        <v>2.4</v>
      </c>
      <c r="N474" s="339"/>
      <c r="O474" s="339">
        <v>1.4</v>
      </c>
      <c r="P474" s="339">
        <v>0.2</v>
      </c>
      <c r="Q474" s="339"/>
      <c r="R474" s="339"/>
      <c r="S474" s="339"/>
      <c r="T474" s="339"/>
      <c r="U474" s="339"/>
      <c r="V474" s="339"/>
      <c r="W474" s="339"/>
      <c r="X474" s="339"/>
      <c r="Y474" s="339"/>
      <c r="Z474" s="339"/>
      <c r="AA474" s="339"/>
      <c r="AB474" s="339"/>
      <c r="AC474" s="339"/>
      <c r="AD474" s="339"/>
      <c r="AE474" s="339"/>
      <c r="AF474" s="339"/>
      <c r="AG474" s="339"/>
      <c r="AH474" s="339"/>
      <c r="AI474" s="339"/>
      <c r="AJ474" s="339"/>
      <c r="AK474" s="339"/>
      <c r="AL474" s="339"/>
      <c r="AM474" s="339"/>
      <c r="AN474" s="339"/>
      <c r="AO474" s="339"/>
      <c r="AP474" s="339"/>
      <c r="AQ474" s="339"/>
      <c r="AR474" s="339"/>
      <c r="AS474" s="339"/>
      <c r="AT474" s="339"/>
      <c r="AU474" s="339"/>
      <c r="AV474" s="338" t="s">
        <v>258</v>
      </c>
      <c r="AW474" s="338" t="s">
        <v>258</v>
      </c>
      <c r="AX474" s="350"/>
      <c r="AY474" s="356"/>
      <c r="AZ474" s="352"/>
      <c r="BA474" s="350"/>
      <c r="BB474" s="350"/>
      <c r="BC474" s="636"/>
      <c r="BD474" s="340"/>
      <c r="BE474" s="340"/>
      <c r="BF474" s="340"/>
      <c r="BG474" s="340"/>
      <c r="BH474" s="240"/>
    </row>
    <row r="475" spans="1:62" ht="33" customHeight="1">
      <c r="A475" s="634"/>
      <c r="B475" s="613"/>
      <c r="C475" s="614"/>
      <c r="D475" s="203">
        <v>4</v>
      </c>
      <c r="E475" s="612"/>
      <c r="F475" s="339">
        <v>4</v>
      </c>
      <c r="G475" s="414">
        <f t="shared" si="68"/>
        <v>4</v>
      </c>
      <c r="H475" s="413" t="s">
        <v>1120</v>
      </c>
      <c r="I475" s="413" t="s">
        <v>1120</v>
      </c>
      <c r="J475" s="413"/>
      <c r="K475" s="413" t="str">
        <f t="shared" si="66"/>
        <v xml:space="preserve">HNK, CLN, </v>
      </c>
      <c r="L475" s="413" t="str">
        <f t="shared" si="67"/>
        <v>HNK:2;CLN:2;</v>
      </c>
      <c r="M475" s="339"/>
      <c r="N475" s="339"/>
      <c r="O475" s="339">
        <v>2</v>
      </c>
      <c r="P475" s="339">
        <v>2</v>
      </c>
      <c r="Q475" s="339"/>
      <c r="R475" s="339"/>
      <c r="S475" s="339"/>
      <c r="T475" s="339"/>
      <c r="U475" s="339"/>
      <c r="V475" s="339"/>
      <c r="W475" s="339"/>
      <c r="X475" s="339"/>
      <c r="Y475" s="339"/>
      <c r="Z475" s="339"/>
      <c r="AA475" s="339"/>
      <c r="AB475" s="339"/>
      <c r="AC475" s="339"/>
      <c r="AD475" s="339"/>
      <c r="AE475" s="339"/>
      <c r="AF475" s="339"/>
      <c r="AG475" s="339"/>
      <c r="AH475" s="339"/>
      <c r="AI475" s="339"/>
      <c r="AJ475" s="339"/>
      <c r="AK475" s="339"/>
      <c r="AL475" s="339"/>
      <c r="AM475" s="339"/>
      <c r="AN475" s="339"/>
      <c r="AO475" s="339"/>
      <c r="AP475" s="339"/>
      <c r="AQ475" s="339"/>
      <c r="AR475" s="339"/>
      <c r="AS475" s="339"/>
      <c r="AT475" s="339"/>
      <c r="AU475" s="339"/>
      <c r="AV475" s="338" t="s">
        <v>370</v>
      </c>
      <c r="AW475" s="338" t="s">
        <v>370</v>
      </c>
      <c r="AX475" s="350"/>
      <c r="AY475" s="356"/>
      <c r="AZ475" s="352"/>
      <c r="BA475" s="350"/>
      <c r="BB475" s="350"/>
      <c r="BC475" s="636"/>
      <c r="BD475" s="340"/>
      <c r="BE475" s="340"/>
      <c r="BF475" s="340"/>
      <c r="BG475" s="340"/>
      <c r="BH475" s="240"/>
    </row>
    <row r="476" spans="1:62" ht="33" customHeight="1">
      <c r="A476" s="634"/>
      <c r="B476" s="613"/>
      <c r="C476" s="614"/>
      <c r="D476" s="203">
        <v>2</v>
      </c>
      <c r="E476" s="612"/>
      <c r="F476" s="339">
        <v>2</v>
      </c>
      <c r="G476" s="414">
        <f t="shared" si="68"/>
        <v>2</v>
      </c>
      <c r="H476" s="413" t="s">
        <v>1196</v>
      </c>
      <c r="I476" s="413" t="s">
        <v>968</v>
      </c>
      <c r="J476" s="413"/>
      <c r="K476" s="413" t="str">
        <f t="shared" si="66"/>
        <v xml:space="preserve">LUC, HNK, CLN, </v>
      </c>
      <c r="L476" s="413" t="str">
        <f t="shared" si="67"/>
        <v>LUC:1,2;HNK:0,7;CLN:0,1;</v>
      </c>
      <c r="M476" s="339">
        <v>1.2</v>
      </c>
      <c r="N476" s="339"/>
      <c r="O476" s="339">
        <v>0.7</v>
      </c>
      <c r="P476" s="339">
        <v>0.1</v>
      </c>
      <c r="Q476" s="339"/>
      <c r="R476" s="339"/>
      <c r="S476" s="339"/>
      <c r="T476" s="339"/>
      <c r="U476" s="339"/>
      <c r="V476" s="339"/>
      <c r="W476" s="339"/>
      <c r="X476" s="339"/>
      <c r="Y476" s="339"/>
      <c r="Z476" s="339"/>
      <c r="AA476" s="339"/>
      <c r="AB476" s="339"/>
      <c r="AC476" s="339"/>
      <c r="AD476" s="339"/>
      <c r="AE476" s="339"/>
      <c r="AF476" s="339"/>
      <c r="AG476" s="339"/>
      <c r="AH476" s="339"/>
      <c r="AI476" s="339"/>
      <c r="AJ476" s="339"/>
      <c r="AK476" s="339"/>
      <c r="AL476" s="339"/>
      <c r="AM476" s="339"/>
      <c r="AN476" s="339"/>
      <c r="AO476" s="339"/>
      <c r="AP476" s="339"/>
      <c r="AQ476" s="339"/>
      <c r="AR476" s="339"/>
      <c r="AS476" s="339"/>
      <c r="AT476" s="339"/>
      <c r="AU476" s="339"/>
      <c r="AV476" s="338" t="s">
        <v>295</v>
      </c>
      <c r="AW476" s="338" t="s">
        <v>295</v>
      </c>
      <c r="AX476" s="350"/>
      <c r="AY476" s="356"/>
      <c r="AZ476" s="352"/>
      <c r="BA476" s="350"/>
      <c r="BB476" s="350"/>
      <c r="BC476" s="636"/>
      <c r="BD476" s="340"/>
      <c r="BE476" s="340"/>
      <c r="BF476" s="340"/>
      <c r="BG476" s="340"/>
      <c r="BH476" s="240"/>
    </row>
    <row r="477" spans="1:62" ht="33" customHeight="1">
      <c r="A477" s="634"/>
      <c r="B477" s="613"/>
      <c r="C477" s="614"/>
      <c r="D477" s="203">
        <v>2</v>
      </c>
      <c r="E477" s="612"/>
      <c r="F477" s="339">
        <v>2</v>
      </c>
      <c r="G477" s="414">
        <f t="shared" si="68"/>
        <v>2</v>
      </c>
      <c r="H477" s="413" t="s">
        <v>1072</v>
      </c>
      <c r="I477" s="413" t="s">
        <v>1621</v>
      </c>
      <c r="J477" s="413"/>
      <c r="K477" s="413" t="str">
        <f t="shared" si="66"/>
        <v xml:space="preserve">LUK, HNK, CLN, </v>
      </c>
      <c r="L477" s="413" t="str">
        <f t="shared" si="67"/>
        <v>LUK:1,2;HNK:0,7;CLN:0,1;</v>
      </c>
      <c r="M477" s="339"/>
      <c r="N477" s="339">
        <v>1.2</v>
      </c>
      <c r="O477" s="339">
        <v>0.7</v>
      </c>
      <c r="P477" s="339">
        <v>0.1</v>
      </c>
      <c r="Q477" s="339"/>
      <c r="R477" s="339"/>
      <c r="S477" s="339"/>
      <c r="T477" s="339"/>
      <c r="U477" s="339"/>
      <c r="V477" s="339"/>
      <c r="W477" s="339"/>
      <c r="X477" s="339"/>
      <c r="Y477" s="339"/>
      <c r="Z477" s="339"/>
      <c r="AA477" s="339"/>
      <c r="AB477" s="339"/>
      <c r="AC477" s="339"/>
      <c r="AD477" s="339"/>
      <c r="AE477" s="339"/>
      <c r="AF477" s="339"/>
      <c r="AG477" s="339"/>
      <c r="AH477" s="339"/>
      <c r="AI477" s="339"/>
      <c r="AJ477" s="339"/>
      <c r="AK477" s="339"/>
      <c r="AL477" s="339"/>
      <c r="AM477" s="339"/>
      <c r="AN477" s="339"/>
      <c r="AO477" s="339"/>
      <c r="AP477" s="339"/>
      <c r="AQ477" s="339"/>
      <c r="AR477" s="339"/>
      <c r="AS477" s="339"/>
      <c r="AT477" s="339"/>
      <c r="AU477" s="339"/>
      <c r="AV477" s="338" t="s">
        <v>318</v>
      </c>
      <c r="AW477" s="338" t="s">
        <v>318</v>
      </c>
      <c r="AX477" s="350"/>
      <c r="AY477" s="356"/>
      <c r="AZ477" s="352"/>
      <c r="BA477" s="350"/>
      <c r="BB477" s="350"/>
      <c r="BC477" s="636"/>
      <c r="BD477" s="340"/>
      <c r="BE477" s="340"/>
      <c r="BF477" s="340"/>
      <c r="BG477" s="340"/>
      <c r="BH477" s="240"/>
    </row>
    <row r="478" spans="1:62" ht="33" customHeight="1">
      <c r="A478" s="634"/>
      <c r="B478" s="613"/>
      <c r="C478" s="614"/>
      <c r="D478" s="203">
        <v>3</v>
      </c>
      <c r="E478" s="612"/>
      <c r="F478" s="339">
        <v>3</v>
      </c>
      <c r="G478" s="414">
        <f>SUM(M478:AR478)</f>
        <v>3</v>
      </c>
      <c r="H478" s="413" t="s">
        <v>5</v>
      </c>
      <c r="I478" s="413" t="s">
        <v>8</v>
      </c>
      <c r="J478" s="413"/>
      <c r="K478" s="413" t="str">
        <f t="shared" si="66"/>
        <v xml:space="preserve">LUK, </v>
      </c>
      <c r="L478" s="413" t="str">
        <f>IF(M478="","",$M$5&amp;":"&amp;M478&amp;";")&amp;IF(N478="","",$N$5&amp;":"&amp;N478&amp;";")&amp;IF(O478="","",$O$5&amp;":"&amp;O478&amp;";")&amp;IF(P478="","",$P$5&amp;":"&amp;P478&amp;";")&amp;IF(Q478="","",$Q$5&amp;":"&amp;Q478&amp;";")&amp;IF(R478="","",$R$5&amp;":"&amp;R478&amp;";")&amp;IF(S478="","",$S$5&amp;":"&amp;S478&amp;";")&amp;IF(T478="","",$T$5&amp;":"&amp;T478&amp;";")&amp;IF(U478="","",$U$5&amp;":"&amp;U478&amp;";")&amp;IF(V478="","",$V$5&amp;":"&amp;V478&amp;";")&amp;IF(W478="","",$W$5&amp;":"&amp;W478&amp;";")&amp;IF(X478="","",$X$5&amp;":"&amp;X478&amp;";")&amp;IF(Y478="","",$Y$5&amp;":"&amp;Y478&amp;";")&amp;IF(Z478="","",$Z$5&amp;":"&amp;Z478&amp;";")&amp;IF(AA478="","",$AA$5&amp;":"&amp;AA478&amp;";")&amp;IF(AB478="","",$AB$5&amp;":"&amp;AB478&amp;";")&amp;IF(AC478="","",$AC$5&amp;":"&amp;AC478&amp;";")&amp;IF(AD478="","",$AD$5&amp;":"&amp;AD478&amp;";")&amp;IF(AE478="","",$AE$5&amp;":"&amp;AE478&amp;";")&amp;IF(AF478="","",$AF$5&amp;":"&amp;AF478&amp;";")&amp;IF(AG478="","",$AG$5&amp;":"&amp;AG478&amp;";")&amp;IF(AH478="","",$AH$5&amp;":"&amp;AH478&amp;";")&amp;IF(AI478="","",$AI$5&amp;":"&amp;AI478&amp;";")&amp;IF(AJ478="","",$AJ$5&amp;":"&amp;AJ478&amp;";")&amp;IF(AK478="","",$AK$5&amp;":"&amp;AK478&amp;";")&amp;IF(AL478="","",$AL$5&amp;":"&amp;AL478&amp;";")&amp;IF(AM478="","",$AM$5&amp;":"&amp;AM478&amp;";")&amp;IF(AN478="","",$AN$5&amp;":"&amp;AN478&amp;";")&amp;IF(AO478="","",$AO$5&amp;":"&amp;AO478&amp;";")&amp;IF(AP478="","",$AP$5&amp;":"&amp;AP478&amp;";")&amp;IF(AQ478="","",$AQ$5&amp;":"&amp;AQ478&amp;";")&amp;IF(AR478="","",$AR$5&amp;":"&amp;AR478&amp;";")&amp;IF(AS478="","",$AS$5&amp;":"&amp;AS478&amp;";")&amp;IF(AT478="","",$AT$5&amp;":"&amp;AT478&amp;";")&amp;IF(AU478="","",$AU$5&amp;":"&amp;AU478&amp;";")</f>
        <v>LUK:3;</v>
      </c>
      <c r="M478" s="339"/>
      <c r="N478" s="339">
        <v>3</v>
      </c>
      <c r="O478" s="339"/>
      <c r="P478" s="339"/>
      <c r="Q478" s="339"/>
      <c r="R478" s="339"/>
      <c r="S478" s="339"/>
      <c r="T478" s="339"/>
      <c r="U478" s="339"/>
      <c r="V478" s="339"/>
      <c r="W478" s="339"/>
      <c r="X478" s="339"/>
      <c r="Y478" s="339"/>
      <c r="Z478" s="339"/>
      <c r="AA478" s="339"/>
      <c r="AB478" s="339"/>
      <c r="AC478" s="339"/>
      <c r="AD478" s="339"/>
      <c r="AE478" s="339"/>
      <c r="AF478" s="339"/>
      <c r="AG478" s="339"/>
      <c r="AH478" s="339"/>
      <c r="AI478" s="339"/>
      <c r="AJ478" s="339"/>
      <c r="AK478" s="339"/>
      <c r="AL478" s="339"/>
      <c r="AM478" s="339"/>
      <c r="AN478" s="339"/>
      <c r="AO478" s="339"/>
      <c r="AP478" s="339"/>
      <c r="AQ478" s="339"/>
      <c r="AR478" s="339"/>
      <c r="AS478" s="339"/>
      <c r="AT478" s="339"/>
      <c r="AU478" s="339"/>
      <c r="AV478" s="338" t="s">
        <v>266</v>
      </c>
      <c r="AW478" s="338" t="s">
        <v>266</v>
      </c>
      <c r="AX478" s="350"/>
      <c r="AY478" s="356"/>
      <c r="AZ478" s="352"/>
      <c r="BA478" s="350"/>
      <c r="BB478" s="350"/>
      <c r="BC478" s="636"/>
      <c r="BD478" s="340" t="s">
        <v>263</v>
      </c>
      <c r="BE478" s="340"/>
      <c r="BF478" s="340"/>
      <c r="BG478" s="340"/>
      <c r="BH478" s="240"/>
    </row>
    <row r="479" spans="1:62" ht="54.75" customHeight="1">
      <c r="A479" s="511">
        <f>SUBTOTAL(3,C$11:$C479)</f>
        <v>324</v>
      </c>
      <c r="B479" s="337" t="s">
        <v>1626</v>
      </c>
      <c r="C479" s="338" t="s">
        <v>820</v>
      </c>
      <c r="D479" s="203">
        <v>10</v>
      </c>
      <c r="E479" s="339"/>
      <c r="F479" s="339">
        <v>10</v>
      </c>
      <c r="G479" s="414"/>
      <c r="H479" s="413" t="s">
        <v>1072</v>
      </c>
      <c r="I479" s="413" t="s">
        <v>1298</v>
      </c>
      <c r="J479" s="413"/>
      <c r="K479" s="413"/>
      <c r="L479" s="413"/>
      <c r="M479" s="339"/>
      <c r="N479" s="339"/>
      <c r="O479" s="339"/>
      <c r="P479" s="339"/>
      <c r="Q479" s="339"/>
      <c r="R479" s="339"/>
      <c r="S479" s="339"/>
      <c r="T479" s="339"/>
      <c r="U479" s="339"/>
      <c r="V479" s="339"/>
      <c r="W479" s="339"/>
      <c r="X479" s="339"/>
      <c r="Y479" s="339"/>
      <c r="Z479" s="339"/>
      <c r="AA479" s="339"/>
      <c r="AB479" s="339"/>
      <c r="AC479" s="339"/>
      <c r="AD479" s="339"/>
      <c r="AE479" s="339"/>
      <c r="AF479" s="339"/>
      <c r="AG479" s="339"/>
      <c r="AH479" s="339"/>
      <c r="AI479" s="339"/>
      <c r="AJ479" s="339"/>
      <c r="AK479" s="339"/>
      <c r="AL479" s="339"/>
      <c r="AM479" s="339"/>
      <c r="AN479" s="339"/>
      <c r="AO479" s="339"/>
      <c r="AP479" s="339"/>
      <c r="AQ479" s="339"/>
      <c r="AR479" s="339"/>
      <c r="AS479" s="339"/>
      <c r="AT479" s="339"/>
      <c r="AU479" s="339"/>
      <c r="AV479" s="338" t="s">
        <v>1627</v>
      </c>
      <c r="AW479" s="338" t="s">
        <v>1627</v>
      </c>
      <c r="AX479" s="350"/>
      <c r="AY479" s="356"/>
      <c r="AZ479" s="352"/>
      <c r="BA479" s="350"/>
      <c r="BB479" s="350"/>
      <c r="BC479" s="340"/>
      <c r="BD479" s="340"/>
      <c r="BE479" s="340"/>
      <c r="BF479" s="340"/>
      <c r="BG479" s="340"/>
      <c r="BH479" s="240"/>
    </row>
    <row r="480" spans="1:62" ht="25" customHeight="1">
      <c r="A480" s="529" t="s">
        <v>1742</v>
      </c>
      <c r="B480" s="530" t="s">
        <v>96</v>
      </c>
      <c r="C480" s="529"/>
      <c r="D480" s="350"/>
      <c r="E480" s="350"/>
      <c r="F480" s="350"/>
      <c r="G480" s="414"/>
      <c r="H480" s="413"/>
      <c r="I480" s="413"/>
      <c r="J480" s="413"/>
      <c r="K480" s="413" t="str">
        <f t="shared" ref="K480:K488" si="69">IF(M480&lt;&gt;0,$M$5&amp;", ","")&amp;IF(N480&lt;&gt;0,$N$5&amp;", ","")&amp;IF(O480&lt;&gt;0,O$5&amp;", ","")&amp;IF(P480&lt;&gt;0,P$5&amp;", ","")&amp;IF(Q480&lt;&gt;0,Q$5&amp;", ","")&amp;IF(R480&lt;&gt;0,R$5&amp;", ","")&amp;IF(S480&lt;&gt;0,S$5&amp;", ","")&amp;IF(T480&lt;&gt;0,T$5&amp;", ","")&amp;IF(U480&lt;&gt;0,U$5&amp;", ","")&amp;IF(V480&lt;&gt;0,V$5&amp;", ","")&amp;IF(W480&lt;&gt;0,W$5&amp;", ","")&amp;IF(X480&lt;&gt;0,X$5&amp;", ","")&amp;IF(Y480&lt;&gt;0,Y$5&amp;", ","")&amp;IF(Z480&lt;&gt;0,Z$5&amp;", ","")&amp;IF(AA480&lt;&gt;0,AA$5&amp;", ","")&amp;IF(AB480&lt;&gt;0,AB$5&amp;", ","")&amp;IF(AC480&lt;&gt;0,AC$5&amp;", ","")&amp;IF(AD480&lt;&gt;0,AD$5&amp;", ","")&amp;IF(AE480&lt;&gt;0,AE$5&amp;", ","")&amp;IF(AF480&lt;&gt;0,AF$5&amp;", ","")&amp;IF(AG480&lt;&gt;0,AG$5&amp;", ","")&amp;IF(AH480&lt;&gt;0,AH$5&amp;", ","")&amp;IF(AI480&lt;&gt;0,AI$5&amp;", ","")&amp;IF(AJ480&lt;&gt;0,AJ$5&amp;", ","")&amp;IF(AK480&lt;&gt;0,AK$5&amp;", ","")&amp;IF(AL480&lt;&gt;0,AL$5&amp;", ","")&amp;IF(AM480&lt;&gt;0,AM$5&amp;", ","")&amp;IF(AN480&lt;&gt;0,AN$5&amp;", ","")&amp;IF(AO480&lt;&gt;0,AO$5&amp;", ","")&amp;IF(AP480&lt;&gt;0,AP$5&amp;", ","")&amp;IF(AQ480&lt;&gt;0,AQ$5&amp;", ","")&amp;IF(AR480&lt;&gt;0,AR$5,"")&amp;IF(AS480&lt;&gt;0,AS$5,"")&amp;IF(AT480&lt;&gt;0,AT$5,"")&amp;IF(AU480&lt;&gt;0,AU$5,"")</f>
        <v/>
      </c>
      <c r="L480" s="413" t="str">
        <f t="shared" ref="L480:L488" si="70">IF(M480="","",$M$5&amp;":"&amp;M480&amp;";")&amp;IF(N480="","",$N$5&amp;":"&amp;N480&amp;";")&amp;IF(O480="","",$O$5&amp;":"&amp;O480&amp;";")&amp;IF(P480="","",$P$5&amp;":"&amp;P480&amp;";")&amp;IF(Q480="","",$Q$5&amp;":"&amp;Q480&amp;";")&amp;IF(R480="","",$R$5&amp;":"&amp;R480&amp;";")&amp;IF(S480="","",$S$5&amp;":"&amp;S480&amp;";")&amp;IF(T480="","",$T$5&amp;":"&amp;T480&amp;";")&amp;IF(U480="","",$U$5&amp;":"&amp;U480&amp;";")&amp;IF(V480="","",$V$5&amp;":"&amp;V480&amp;";")&amp;IF(W480="","",$W$5&amp;":"&amp;W480&amp;";")&amp;IF(X480="","",$X$5&amp;":"&amp;X480&amp;";")&amp;IF(Y480="","",$Y$5&amp;":"&amp;Y480&amp;";")&amp;IF(Z480="","",$Z$5&amp;":"&amp;Z480&amp;";")&amp;IF(AA480="","",$AA$5&amp;":"&amp;AA480&amp;";")&amp;IF(AB480="","",$AB$5&amp;":"&amp;AB480&amp;";")&amp;IF(AC480="","",$AC$5&amp;":"&amp;AC480&amp;";")&amp;IF(AD480="","",$AD$5&amp;":"&amp;AD480&amp;";")&amp;IF(AE480="","",$AE$5&amp;":"&amp;AE480&amp;";")&amp;IF(AF480="","",$AF$5&amp;":"&amp;AF480&amp;";")&amp;IF(AG480="","",$AG$5&amp;":"&amp;AG480&amp;";")&amp;IF(AH480="","",$AH$5&amp;":"&amp;AH480&amp;";")&amp;IF(AI480="","",$AI$5&amp;":"&amp;AI480&amp;";")&amp;IF(AJ480="","",$AJ$5&amp;":"&amp;AJ480&amp;";")&amp;IF(AK480="","",$AK$5&amp;":"&amp;AK480&amp;";")&amp;IF(AL480="","",$AL$5&amp;":"&amp;AL480&amp;";")&amp;IF(AM480="","",$AM$5&amp;":"&amp;AM480&amp;";")&amp;IF(AN480="","",$AN$5&amp;":"&amp;AN480&amp;";")&amp;IF(AO480="","",$AO$5&amp;":"&amp;AO480&amp;";")&amp;IF(AP480="","",$AP$5&amp;":"&amp;AP480&amp;";")&amp;IF(AQ480="","",$AQ$5&amp;":"&amp;AQ480&amp;";")&amp;IF(AR480="","",$AR$5&amp;":"&amp;AR480&amp;";")&amp;IF(AS480="","",$AS$5&amp;":"&amp;AS480&amp;";")&amp;IF(AT480="","",$AT$5&amp;":"&amp;AT480&amp;";")&amp;IF(AU480="","",$AU$5&amp;":"&amp;AU480&amp;";")</f>
        <v/>
      </c>
      <c r="M480" s="350"/>
      <c r="N480" s="350"/>
      <c r="O480" s="350"/>
      <c r="P480" s="350"/>
      <c r="Q480" s="350"/>
      <c r="R480" s="350"/>
      <c r="S480" s="350"/>
      <c r="T480" s="350"/>
      <c r="U480" s="350"/>
      <c r="V480" s="350"/>
      <c r="W480" s="350"/>
      <c r="X480" s="350"/>
      <c r="Y480" s="350"/>
      <c r="Z480" s="350"/>
      <c r="AA480" s="350"/>
      <c r="AB480" s="350"/>
      <c r="AC480" s="350"/>
      <c r="AD480" s="350"/>
      <c r="AE480" s="350"/>
      <c r="AF480" s="350"/>
      <c r="AG480" s="350"/>
      <c r="AH480" s="350"/>
      <c r="AI480" s="350"/>
      <c r="AJ480" s="350"/>
      <c r="AK480" s="350"/>
      <c r="AL480" s="350"/>
      <c r="AM480" s="350"/>
      <c r="AN480" s="350"/>
      <c r="AO480" s="350"/>
      <c r="AP480" s="350"/>
      <c r="AQ480" s="350"/>
      <c r="AR480" s="350"/>
      <c r="AS480" s="350"/>
      <c r="AT480" s="350"/>
      <c r="AU480" s="350"/>
      <c r="AV480" s="350"/>
      <c r="AW480" s="350"/>
      <c r="AX480" s="350"/>
      <c r="AY480" s="356"/>
      <c r="AZ480" s="352"/>
      <c r="BA480" s="350"/>
      <c r="BB480" s="350"/>
      <c r="BC480" s="195"/>
      <c r="BD480" s="195"/>
      <c r="BE480" s="195"/>
      <c r="BF480" s="195"/>
      <c r="BG480" s="195"/>
      <c r="BH480" s="350"/>
    </row>
    <row r="481" spans="1:62" s="183" customFormat="1" ht="25.5" customHeight="1">
      <c r="A481" s="167"/>
      <c r="B481" s="168" t="s">
        <v>1758</v>
      </c>
      <c r="C481" s="164"/>
      <c r="D481" s="169"/>
      <c r="E481" s="169"/>
      <c r="F481" s="169"/>
      <c r="G481" s="441"/>
      <c r="H481" s="442"/>
      <c r="I481" s="442"/>
      <c r="J481" s="442"/>
      <c r="K481" s="442"/>
      <c r="L481" s="442"/>
      <c r="M481" s="169"/>
      <c r="N481" s="169"/>
      <c r="O481" s="169"/>
      <c r="P481" s="169"/>
      <c r="Q481" s="169"/>
      <c r="R481" s="169"/>
      <c r="S481" s="169"/>
      <c r="T481" s="169"/>
      <c r="U481" s="169"/>
      <c r="V481" s="169"/>
      <c r="W481" s="169"/>
      <c r="X481" s="169"/>
      <c r="Y481" s="169"/>
      <c r="Z481" s="169"/>
      <c r="AA481" s="169"/>
      <c r="AB481" s="169"/>
      <c r="AC481" s="169"/>
      <c r="AD481" s="169"/>
      <c r="AE481" s="169"/>
      <c r="AF481" s="169"/>
      <c r="AG481" s="169"/>
      <c r="AH481" s="169"/>
      <c r="AI481" s="169"/>
      <c r="AJ481" s="169"/>
      <c r="AK481" s="169"/>
      <c r="AL481" s="169"/>
      <c r="AM481" s="169"/>
      <c r="AN481" s="169"/>
      <c r="AO481" s="169"/>
      <c r="AP481" s="169"/>
      <c r="AQ481" s="169"/>
      <c r="AR481" s="169"/>
      <c r="AS481" s="169"/>
      <c r="AT481" s="169"/>
      <c r="AU481" s="169"/>
      <c r="AV481" s="169"/>
      <c r="AW481" s="169"/>
      <c r="AX481" s="169"/>
      <c r="AY481" s="263"/>
      <c r="AZ481" s="165"/>
      <c r="BA481" s="169"/>
      <c r="BB481" s="169"/>
      <c r="BC481" s="165"/>
      <c r="BD481" s="165"/>
      <c r="BE481" s="165"/>
      <c r="BF481" s="165"/>
      <c r="BG481" s="165"/>
      <c r="BH481" s="169"/>
      <c r="BI481" s="412"/>
      <c r="BJ481" s="443"/>
    </row>
    <row r="482" spans="1:62" ht="40" customHeight="1">
      <c r="A482" s="511">
        <f>SUBTOTAL(3,C$11:$C482)</f>
        <v>325</v>
      </c>
      <c r="B482" s="175" t="s">
        <v>972</v>
      </c>
      <c r="C482" s="338" t="s">
        <v>55</v>
      </c>
      <c r="D482" s="361">
        <v>9</v>
      </c>
      <c r="E482" s="366"/>
      <c r="F482" s="361">
        <v>9</v>
      </c>
      <c r="G482" s="414">
        <f>SUM(M482:AR482)</f>
        <v>7</v>
      </c>
      <c r="H482" s="413" t="s">
        <v>1196</v>
      </c>
      <c r="I482" s="413" t="s">
        <v>968</v>
      </c>
      <c r="J482" s="413"/>
      <c r="K482" s="413" t="str">
        <f t="shared" si="69"/>
        <v xml:space="preserve">LUC, HNK, CLN, </v>
      </c>
      <c r="L482" s="413" t="str">
        <f t="shared" si="70"/>
        <v>LUC:3,75;HNK:2,38;CLN:0,87;</v>
      </c>
      <c r="M482" s="361">
        <v>3.75</v>
      </c>
      <c r="N482" s="361"/>
      <c r="O482" s="361">
        <v>2.38</v>
      </c>
      <c r="P482" s="361">
        <v>0.87</v>
      </c>
      <c r="Q482" s="361"/>
      <c r="R482" s="361"/>
      <c r="S482" s="361"/>
      <c r="T482" s="361"/>
      <c r="U482" s="361"/>
      <c r="V482" s="361"/>
      <c r="W482" s="361"/>
      <c r="X482" s="361"/>
      <c r="Y482" s="361"/>
      <c r="Z482" s="361"/>
      <c r="AA482" s="361"/>
      <c r="AB482" s="361"/>
      <c r="AC482" s="361"/>
      <c r="AD482" s="361"/>
      <c r="AE482" s="361"/>
      <c r="AF482" s="361"/>
      <c r="AG482" s="361"/>
      <c r="AH482" s="361"/>
      <c r="AI482" s="361"/>
      <c r="AJ482" s="361"/>
      <c r="AK482" s="361"/>
      <c r="AL482" s="361"/>
      <c r="AM482" s="361"/>
      <c r="AN482" s="361"/>
      <c r="AO482" s="361"/>
      <c r="AP482" s="361"/>
      <c r="AQ482" s="361"/>
      <c r="AR482" s="361"/>
      <c r="AS482" s="361"/>
      <c r="AT482" s="361"/>
      <c r="AU482" s="361"/>
      <c r="AV482" s="350" t="s">
        <v>217</v>
      </c>
      <c r="AW482" s="350" t="s">
        <v>217</v>
      </c>
      <c r="AX482" s="350"/>
      <c r="AY482" s="356"/>
      <c r="AZ482" s="213"/>
      <c r="BA482" s="353"/>
      <c r="BB482" s="353"/>
      <c r="BC482" s="213"/>
      <c r="BD482" s="213"/>
      <c r="BE482" s="213"/>
      <c r="BF482" s="213"/>
      <c r="BG482" s="213"/>
      <c r="BH482" s="236"/>
    </row>
    <row r="483" spans="1:62" ht="31.5" customHeight="1">
      <c r="A483" s="151" t="s">
        <v>27</v>
      </c>
      <c r="B483" s="159" t="s">
        <v>1736</v>
      </c>
      <c r="C483" s="158"/>
      <c r="D483" s="350"/>
      <c r="E483" s="350"/>
      <c r="F483" s="350"/>
      <c r="G483" s="414"/>
      <c r="H483" s="413"/>
      <c r="I483" s="413"/>
      <c r="J483" s="413"/>
      <c r="K483" s="413" t="str">
        <f t="shared" si="69"/>
        <v/>
      </c>
      <c r="L483" s="413" t="str">
        <f t="shared" si="70"/>
        <v/>
      </c>
      <c r="M483" s="350"/>
      <c r="N483" s="350"/>
      <c r="O483" s="350"/>
      <c r="P483" s="350"/>
      <c r="Q483" s="350"/>
      <c r="R483" s="350"/>
      <c r="S483" s="350"/>
      <c r="T483" s="350"/>
      <c r="U483" s="350"/>
      <c r="V483" s="350"/>
      <c r="W483" s="350"/>
      <c r="X483" s="350"/>
      <c r="Y483" s="350"/>
      <c r="Z483" s="350"/>
      <c r="AA483" s="350"/>
      <c r="AB483" s="350"/>
      <c r="AC483" s="350"/>
      <c r="AD483" s="350"/>
      <c r="AE483" s="350"/>
      <c r="AF483" s="350"/>
      <c r="AG483" s="350"/>
      <c r="AH483" s="350"/>
      <c r="AI483" s="350"/>
      <c r="AJ483" s="350"/>
      <c r="AK483" s="350"/>
      <c r="AL483" s="350"/>
      <c r="AM483" s="350"/>
      <c r="AN483" s="350"/>
      <c r="AO483" s="350"/>
      <c r="AP483" s="350"/>
      <c r="AQ483" s="350"/>
      <c r="AR483" s="350"/>
      <c r="AS483" s="350"/>
      <c r="AT483" s="350"/>
      <c r="AU483" s="350"/>
      <c r="AV483" s="350"/>
      <c r="AW483" s="350"/>
      <c r="AX483" s="350"/>
      <c r="AY483" s="356"/>
      <c r="AZ483" s="352"/>
      <c r="BA483" s="350"/>
      <c r="BB483" s="350"/>
      <c r="BC483" s="195"/>
      <c r="BD483" s="195"/>
      <c r="BE483" s="195"/>
      <c r="BF483" s="195"/>
      <c r="BG483" s="195"/>
      <c r="BH483" s="350"/>
    </row>
    <row r="484" spans="1:62" s="179" customFormat="1" ht="25" customHeight="1">
      <c r="A484" s="531" t="s">
        <v>1737</v>
      </c>
      <c r="B484" s="532" t="s">
        <v>1738</v>
      </c>
      <c r="C484" s="531"/>
      <c r="D484" s="204"/>
      <c r="E484" s="204"/>
      <c r="F484" s="204"/>
      <c r="G484" s="410"/>
      <c r="H484" s="411"/>
      <c r="I484" s="411"/>
      <c r="J484" s="411"/>
      <c r="K484" s="411" t="str">
        <f t="shared" si="69"/>
        <v/>
      </c>
      <c r="L484" s="411" t="str">
        <f t="shared" si="70"/>
        <v/>
      </c>
      <c r="M484" s="204"/>
      <c r="N484" s="204"/>
      <c r="O484" s="204"/>
      <c r="P484" s="204"/>
      <c r="Q484" s="204"/>
      <c r="R484" s="204"/>
      <c r="S484" s="204"/>
      <c r="T484" s="204"/>
      <c r="U484" s="204"/>
      <c r="V484" s="204"/>
      <c r="W484" s="204"/>
      <c r="X484" s="204"/>
      <c r="Y484" s="204"/>
      <c r="Z484" s="204"/>
      <c r="AA484" s="204"/>
      <c r="AB484" s="204"/>
      <c r="AC484" s="204"/>
      <c r="AD484" s="204"/>
      <c r="AE484" s="204"/>
      <c r="AF484" s="204"/>
      <c r="AG484" s="204"/>
      <c r="AH484" s="204"/>
      <c r="AI484" s="204"/>
      <c r="AJ484" s="204"/>
      <c r="AK484" s="204"/>
      <c r="AL484" s="204"/>
      <c r="AM484" s="204"/>
      <c r="AN484" s="204"/>
      <c r="AO484" s="204"/>
      <c r="AP484" s="204"/>
      <c r="AQ484" s="204"/>
      <c r="AR484" s="204"/>
      <c r="AS484" s="204"/>
      <c r="AT484" s="204"/>
      <c r="AU484" s="204"/>
      <c r="AV484" s="204"/>
      <c r="AW484" s="204"/>
      <c r="AX484" s="204"/>
      <c r="AY484" s="265"/>
      <c r="AZ484" s="205"/>
      <c r="BA484" s="204"/>
      <c r="BB484" s="204"/>
      <c r="BC484" s="206"/>
      <c r="BD484" s="206"/>
      <c r="BE484" s="206"/>
      <c r="BF484" s="206"/>
      <c r="BG484" s="206"/>
      <c r="BH484" s="204"/>
      <c r="BI484" s="412"/>
      <c r="BJ484" s="412"/>
    </row>
    <row r="485" spans="1:62" ht="25" customHeight="1">
      <c r="A485" s="529" t="s">
        <v>974</v>
      </c>
      <c r="B485" s="530" t="s">
        <v>65</v>
      </c>
      <c r="C485" s="529"/>
      <c r="D485" s="350"/>
      <c r="E485" s="350"/>
      <c r="F485" s="350"/>
      <c r="G485" s="414"/>
      <c r="H485" s="413"/>
      <c r="I485" s="413"/>
      <c r="J485" s="413"/>
      <c r="K485" s="413" t="str">
        <f t="shared" si="69"/>
        <v/>
      </c>
      <c r="L485" s="413" t="str">
        <f t="shared" si="70"/>
        <v/>
      </c>
      <c r="M485" s="350"/>
      <c r="N485" s="350"/>
      <c r="O485" s="350"/>
      <c r="P485" s="350"/>
      <c r="Q485" s="350"/>
      <c r="R485" s="350"/>
      <c r="S485" s="350"/>
      <c r="T485" s="350"/>
      <c r="U485" s="350"/>
      <c r="V485" s="350"/>
      <c r="W485" s="350"/>
      <c r="X485" s="350"/>
      <c r="Y485" s="350"/>
      <c r="Z485" s="350"/>
      <c r="AA485" s="350"/>
      <c r="AB485" s="350"/>
      <c r="AC485" s="350"/>
      <c r="AD485" s="350"/>
      <c r="AE485" s="350"/>
      <c r="AF485" s="350"/>
      <c r="AG485" s="350"/>
      <c r="AH485" s="350"/>
      <c r="AI485" s="350"/>
      <c r="AJ485" s="350"/>
      <c r="AK485" s="350"/>
      <c r="AL485" s="350"/>
      <c r="AM485" s="350"/>
      <c r="AN485" s="350"/>
      <c r="AO485" s="350"/>
      <c r="AP485" s="350"/>
      <c r="AQ485" s="350"/>
      <c r="AR485" s="350"/>
      <c r="AS485" s="350"/>
      <c r="AT485" s="350"/>
      <c r="AU485" s="350"/>
      <c r="AV485" s="350"/>
      <c r="AW485" s="350"/>
      <c r="AX485" s="350"/>
      <c r="AY485" s="356"/>
      <c r="AZ485" s="352"/>
      <c r="BA485" s="350"/>
      <c r="BB485" s="350"/>
      <c r="BC485" s="195"/>
      <c r="BD485" s="195"/>
      <c r="BE485" s="195"/>
      <c r="BF485" s="195"/>
      <c r="BG485" s="195"/>
      <c r="BH485" s="350"/>
    </row>
    <row r="486" spans="1:62" s="179" customFormat="1" ht="24.65" customHeight="1">
      <c r="A486" s="145"/>
      <c r="B486" s="163" t="s">
        <v>1757</v>
      </c>
      <c r="C486" s="164"/>
      <c r="D486" s="368"/>
      <c r="E486" s="368"/>
      <c r="F486" s="368"/>
      <c r="G486" s="410"/>
      <c r="H486" s="411"/>
      <c r="I486" s="411"/>
      <c r="J486" s="411"/>
      <c r="K486" s="411"/>
      <c r="L486" s="411"/>
      <c r="M486" s="368"/>
      <c r="N486" s="368"/>
      <c r="O486" s="368"/>
      <c r="P486" s="368"/>
      <c r="Q486" s="368"/>
      <c r="R486" s="368"/>
      <c r="S486" s="368"/>
      <c r="T486" s="368"/>
      <c r="U486" s="368"/>
      <c r="V486" s="368"/>
      <c r="W486" s="368"/>
      <c r="X486" s="368"/>
      <c r="Y486" s="368"/>
      <c r="Z486" s="368"/>
      <c r="AA486" s="368"/>
      <c r="AB486" s="368"/>
      <c r="AC486" s="368"/>
      <c r="AD486" s="368"/>
      <c r="AE486" s="368"/>
      <c r="AF486" s="368"/>
      <c r="AG486" s="368"/>
      <c r="AH486" s="368"/>
      <c r="AI486" s="368"/>
      <c r="AJ486" s="368"/>
      <c r="AK486" s="368"/>
      <c r="AL486" s="368"/>
      <c r="AM486" s="368"/>
      <c r="AN486" s="368"/>
      <c r="AO486" s="368"/>
      <c r="AP486" s="368"/>
      <c r="AQ486" s="368"/>
      <c r="AR486" s="368"/>
      <c r="AS486" s="368"/>
      <c r="AT486" s="368"/>
      <c r="AU486" s="368"/>
      <c r="AV486" s="368"/>
      <c r="AW486" s="368"/>
      <c r="AX486" s="368"/>
      <c r="AY486" s="257"/>
      <c r="AZ486" s="178"/>
      <c r="BA486" s="368"/>
      <c r="BB486" s="368"/>
      <c r="BC486" s="165"/>
      <c r="BD486" s="165"/>
      <c r="BE486" s="165"/>
      <c r="BF486" s="165"/>
      <c r="BG486" s="165"/>
      <c r="BH486" s="368"/>
      <c r="BI486" s="412"/>
      <c r="BJ486" s="412"/>
    </row>
    <row r="487" spans="1:62" ht="42" customHeight="1">
      <c r="A487" s="344">
        <f>SUBTOTAL(3,C$11:$C487)</f>
        <v>326</v>
      </c>
      <c r="B487" s="337" t="s">
        <v>308</v>
      </c>
      <c r="C487" s="338" t="s">
        <v>28</v>
      </c>
      <c r="D487" s="361">
        <v>0.1081</v>
      </c>
      <c r="E487" s="361">
        <v>0.1081</v>
      </c>
      <c r="F487" s="185"/>
      <c r="G487" s="414">
        <f>SUM(M487:AR487)</f>
        <v>0.11</v>
      </c>
      <c r="H487" s="413" t="s">
        <v>28</v>
      </c>
      <c r="I487" s="413" t="s">
        <v>24</v>
      </c>
      <c r="J487" s="413"/>
      <c r="K487" s="413" t="str">
        <f t="shared" si="69"/>
        <v xml:space="preserve">TSC, </v>
      </c>
      <c r="L487" s="413" t="str">
        <f t="shared" si="70"/>
        <v>TSC:0,11;</v>
      </c>
      <c r="M487" s="361"/>
      <c r="N487" s="361"/>
      <c r="O487" s="361"/>
      <c r="P487" s="361"/>
      <c r="Q487" s="361"/>
      <c r="R487" s="361"/>
      <c r="S487" s="361"/>
      <c r="T487" s="361"/>
      <c r="U487" s="361"/>
      <c r="V487" s="361"/>
      <c r="W487" s="361"/>
      <c r="X487" s="361"/>
      <c r="Y487" s="361"/>
      <c r="Z487" s="361"/>
      <c r="AA487" s="361"/>
      <c r="AB487" s="361"/>
      <c r="AC487" s="361"/>
      <c r="AD487" s="361"/>
      <c r="AE487" s="361"/>
      <c r="AF487" s="361"/>
      <c r="AG487" s="361"/>
      <c r="AH487" s="361"/>
      <c r="AI487" s="361"/>
      <c r="AJ487" s="361"/>
      <c r="AK487" s="361"/>
      <c r="AL487" s="361"/>
      <c r="AM487" s="361"/>
      <c r="AN487" s="361">
        <v>0.11</v>
      </c>
      <c r="AO487" s="361"/>
      <c r="AP487" s="361"/>
      <c r="AQ487" s="361"/>
      <c r="AR487" s="361"/>
      <c r="AS487" s="361"/>
      <c r="AT487" s="361"/>
      <c r="AU487" s="361"/>
      <c r="AV487" s="338" t="s">
        <v>309</v>
      </c>
      <c r="AW487" s="338" t="s">
        <v>309</v>
      </c>
      <c r="AX487" s="350" t="s">
        <v>310</v>
      </c>
      <c r="AY487" s="356" t="s">
        <v>310</v>
      </c>
      <c r="AZ487" s="352" t="s">
        <v>1015</v>
      </c>
      <c r="BA487" s="209" t="s">
        <v>311</v>
      </c>
      <c r="BB487" s="350"/>
      <c r="BC487" s="371" t="s">
        <v>267</v>
      </c>
      <c r="BD487" s="371"/>
      <c r="BE487" s="371"/>
      <c r="BF487" s="371"/>
      <c r="BG487" s="371" t="s">
        <v>263</v>
      </c>
      <c r="BH487" s="350"/>
    </row>
    <row r="488" spans="1:62" ht="25" customHeight="1">
      <c r="A488" s="529" t="s">
        <v>975</v>
      </c>
      <c r="B488" s="530" t="s">
        <v>109</v>
      </c>
      <c r="C488" s="529"/>
      <c r="D488" s="350"/>
      <c r="E488" s="350"/>
      <c r="F488" s="350"/>
      <c r="G488" s="414"/>
      <c r="H488" s="413"/>
      <c r="I488" s="413"/>
      <c r="J488" s="413"/>
      <c r="K488" s="413" t="str">
        <f t="shared" si="69"/>
        <v/>
      </c>
      <c r="L488" s="413" t="str">
        <f t="shared" si="70"/>
        <v/>
      </c>
      <c r="M488" s="350"/>
      <c r="N488" s="350"/>
      <c r="O488" s="350"/>
      <c r="P488" s="350"/>
      <c r="Q488" s="350"/>
      <c r="R488" s="350"/>
      <c r="S488" s="350"/>
      <c r="T488" s="350"/>
      <c r="U488" s="350"/>
      <c r="V488" s="350"/>
      <c r="W488" s="350"/>
      <c r="X488" s="350"/>
      <c r="Y488" s="350"/>
      <c r="Z488" s="350"/>
      <c r="AA488" s="350"/>
      <c r="AB488" s="350"/>
      <c r="AC488" s="350"/>
      <c r="AD488" s="350"/>
      <c r="AE488" s="350"/>
      <c r="AF488" s="350"/>
      <c r="AG488" s="350"/>
      <c r="AH488" s="350"/>
      <c r="AI488" s="350"/>
      <c r="AJ488" s="350"/>
      <c r="AK488" s="350"/>
      <c r="AL488" s="350"/>
      <c r="AM488" s="350"/>
      <c r="AN488" s="350"/>
      <c r="AO488" s="350"/>
      <c r="AP488" s="350"/>
      <c r="AQ488" s="350"/>
      <c r="AR488" s="350"/>
      <c r="AS488" s="350"/>
      <c r="AT488" s="350"/>
      <c r="AU488" s="350"/>
      <c r="AV488" s="350"/>
      <c r="AW488" s="350"/>
      <c r="AX488" s="350"/>
      <c r="AY488" s="356"/>
      <c r="AZ488" s="352"/>
      <c r="BA488" s="350"/>
      <c r="BB488" s="350"/>
      <c r="BC488" s="195"/>
      <c r="BD488" s="195"/>
      <c r="BE488" s="195"/>
      <c r="BF488" s="195"/>
      <c r="BG488" s="195"/>
      <c r="BH488" s="350"/>
    </row>
    <row r="489" spans="1:62" s="179" customFormat="1" ht="24.65" customHeight="1">
      <c r="A489" s="145"/>
      <c r="B489" s="163" t="s">
        <v>1757</v>
      </c>
      <c r="C489" s="164"/>
      <c r="D489" s="368"/>
      <c r="E489" s="368"/>
      <c r="F489" s="368"/>
      <c r="G489" s="410"/>
      <c r="H489" s="411"/>
      <c r="I489" s="411"/>
      <c r="J489" s="411"/>
      <c r="K489" s="411"/>
      <c r="L489" s="411"/>
      <c r="M489" s="368"/>
      <c r="N489" s="368"/>
      <c r="O489" s="368"/>
      <c r="P489" s="368"/>
      <c r="Q489" s="368"/>
      <c r="R489" s="368"/>
      <c r="S489" s="368"/>
      <c r="T489" s="368"/>
      <c r="U489" s="368"/>
      <c r="V489" s="368"/>
      <c r="W489" s="368"/>
      <c r="X489" s="368"/>
      <c r="Y489" s="368"/>
      <c r="Z489" s="368"/>
      <c r="AA489" s="368"/>
      <c r="AB489" s="368"/>
      <c r="AC489" s="368"/>
      <c r="AD489" s="368"/>
      <c r="AE489" s="368"/>
      <c r="AF489" s="368"/>
      <c r="AG489" s="368"/>
      <c r="AH489" s="368"/>
      <c r="AI489" s="368"/>
      <c r="AJ489" s="368"/>
      <c r="AK489" s="368"/>
      <c r="AL489" s="368"/>
      <c r="AM489" s="368"/>
      <c r="AN489" s="368"/>
      <c r="AO489" s="368"/>
      <c r="AP489" s="368"/>
      <c r="AQ489" s="368"/>
      <c r="AR489" s="368"/>
      <c r="AS489" s="368"/>
      <c r="AT489" s="368"/>
      <c r="AU489" s="368"/>
      <c r="AV489" s="368"/>
      <c r="AW489" s="368"/>
      <c r="AX489" s="368"/>
      <c r="AY489" s="257"/>
      <c r="AZ489" s="178"/>
      <c r="BA489" s="368"/>
      <c r="BB489" s="368"/>
      <c r="BC489" s="165"/>
      <c r="BD489" s="165"/>
      <c r="BE489" s="165"/>
      <c r="BF489" s="165"/>
      <c r="BG489" s="165"/>
      <c r="BH489" s="368"/>
      <c r="BI489" s="412"/>
      <c r="BJ489" s="412"/>
    </row>
    <row r="490" spans="1:62" ht="42" customHeight="1">
      <c r="A490" s="344">
        <f>SUBTOTAL(3,C$11:$C490)</f>
        <v>327</v>
      </c>
      <c r="B490" s="337" t="s">
        <v>466</v>
      </c>
      <c r="C490" s="338" t="s">
        <v>46</v>
      </c>
      <c r="D490" s="361">
        <v>0.1</v>
      </c>
      <c r="E490" s="361">
        <v>0.1</v>
      </c>
      <c r="F490" s="192"/>
      <c r="G490" s="414">
        <f>SUM(M490:AR490)</f>
        <v>0.1</v>
      </c>
      <c r="H490" s="413" t="s">
        <v>46</v>
      </c>
      <c r="I490" s="413" t="s">
        <v>46</v>
      </c>
      <c r="J490" s="413"/>
      <c r="K490" s="413" t="str">
        <f>IF(M490&lt;&gt;0,$M$5&amp;", ","")&amp;IF(N490&lt;&gt;0,$N$5&amp;", ","")&amp;IF(O490&lt;&gt;0,O$5&amp;", ","")&amp;IF(P490&lt;&gt;0,P$5&amp;", ","")&amp;IF(Q490&lt;&gt;0,Q$5&amp;", ","")&amp;IF(R490&lt;&gt;0,R$5&amp;", ","")&amp;IF(S490&lt;&gt;0,S$5&amp;", ","")&amp;IF(T490&lt;&gt;0,T$5&amp;", ","")&amp;IF(U490&lt;&gt;0,U$5&amp;", ","")&amp;IF(V490&lt;&gt;0,V$5&amp;", ","")&amp;IF(W490&lt;&gt;0,W$5&amp;", ","")&amp;IF(X490&lt;&gt;0,X$5&amp;", ","")&amp;IF(Y490&lt;&gt;0,Y$5&amp;", ","")&amp;IF(Z490&lt;&gt;0,Z$5&amp;", ","")&amp;IF(AA490&lt;&gt;0,AA$5&amp;", ","")&amp;IF(AB490&lt;&gt;0,AB$5&amp;", ","")&amp;IF(AC490&lt;&gt;0,AC$5&amp;", ","")&amp;IF(AD490&lt;&gt;0,AD$5&amp;", ","")&amp;IF(AE490&lt;&gt;0,AE$5&amp;", ","")&amp;IF(AF490&lt;&gt;0,AF$5&amp;", ","")&amp;IF(AG490&lt;&gt;0,AG$5&amp;", ","")&amp;IF(AH490&lt;&gt;0,AH$5&amp;", ","")&amp;IF(AI490&lt;&gt;0,AI$5&amp;", ","")&amp;IF(AJ490&lt;&gt;0,AJ$5&amp;", ","")&amp;IF(AK490&lt;&gt;0,AK$5&amp;", ","")&amp;IF(AL490&lt;&gt;0,AL$5&amp;", ","")&amp;IF(AM490&lt;&gt;0,AM$5&amp;", ","")&amp;IF(AN490&lt;&gt;0,AN$5&amp;", ","")&amp;IF(AO490&lt;&gt;0,AO$5&amp;", ","")&amp;IF(AP490&lt;&gt;0,AP$5&amp;", ","")&amp;IF(AQ490&lt;&gt;0,AQ$5&amp;", ","")&amp;IF(AR490&lt;&gt;0,AR$5,"")&amp;IF(AS490&lt;&gt;0,AS$5,"")&amp;IF(AT490&lt;&gt;0,AT$5,"")&amp;IF(AU490&lt;&gt;0,AU$5,"")</f>
        <v xml:space="preserve">DVH, </v>
      </c>
      <c r="L490" s="413" t="str">
        <f>IF(M490="","",$M$5&amp;":"&amp;M490&amp;";")&amp;IF(N490="","",$N$5&amp;":"&amp;N490&amp;";")&amp;IF(O490="","",$O$5&amp;":"&amp;O490&amp;";")&amp;IF(P490="","",$P$5&amp;":"&amp;P490&amp;";")&amp;IF(Q490="","",$Q$5&amp;":"&amp;Q490&amp;";")&amp;IF(R490="","",$R$5&amp;":"&amp;R490&amp;";")&amp;IF(S490="","",$S$5&amp;":"&amp;S490&amp;";")&amp;IF(T490="","",$T$5&amp;":"&amp;T490&amp;";")&amp;IF(U490="","",$U$5&amp;":"&amp;U490&amp;";")&amp;IF(V490="","",$V$5&amp;":"&amp;V490&amp;";")&amp;IF(W490="","",$W$5&amp;":"&amp;W490&amp;";")&amp;IF(X490="","",$X$5&amp;":"&amp;X490&amp;";")&amp;IF(Y490="","",$Y$5&amp;":"&amp;Y490&amp;";")&amp;IF(Z490="","",$Z$5&amp;":"&amp;Z490&amp;";")&amp;IF(AA490="","",$AA$5&amp;":"&amp;AA490&amp;";")&amp;IF(AB490="","",$AB$5&amp;":"&amp;AB490&amp;";")&amp;IF(AC490="","",$AC$5&amp;":"&amp;AC490&amp;";")&amp;IF(AD490="","",$AD$5&amp;":"&amp;AD490&amp;";")&amp;IF(AE490="","",$AE$5&amp;":"&amp;AE490&amp;";")&amp;IF(AF490="","",$AF$5&amp;":"&amp;AF490&amp;";")&amp;IF(AG490="","",$AG$5&amp;":"&amp;AG490&amp;";")&amp;IF(AH490="","",$AH$5&amp;":"&amp;AH490&amp;";")&amp;IF(AI490="","",$AI$5&amp;":"&amp;AI490&amp;";")&amp;IF(AJ490="","",$AJ$5&amp;":"&amp;AJ490&amp;";")&amp;IF(AK490="","",$AK$5&amp;":"&amp;AK490&amp;";")&amp;IF(AL490="","",$AL$5&amp;":"&amp;AL490&amp;";")&amp;IF(AM490="","",$AM$5&amp;":"&amp;AM490&amp;";")&amp;IF(AN490="","",$AN$5&amp;":"&amp;AN490&amp;";")&amp;IF(AO490="","",$AO$5&amp;":"&amp;AO490&amp;";")&amp;IF(AP490="","",$AP$5&amp;":"&amp;AP490&amp;";")&amp;IF(AQ490="","",$AQ$5&amp;":"&amp;AQ490&amp;";")&amp;IF(AR490="","",$AR$5&amp;":"&amp;AR490&amp;";")&amp;IF(AS490="","",$AS$5&amp;":"&amp;AS490&amp;";")&amp;IF(AT490="","",$AT$5&amp;":"&amp;AT490&amp;";")&amp;IF(AU490="","",$AU$5&amp;":"&amp;AU490&amp;";")</f>
        <v>DVH:0,1;</v>
      </c>
      <c r="M490" s="192"/>
      <c r="N490" s="192"/>
      <c r="O490" s="192"/>
      <c r="P490" s="192"/>
      <c r="Q490" s="192"/>
      <c r="R490" s="192"/>
      <c r="S490" s="192"/>
      <c r="T490" s="192"/>
      <c r="U490" s="192"/>
      <c r="V490" s="192"/>
      <c r="W490" s="192"/>
      <c r="X490" s="192"/>
      <c r="Y490" s="192">
        <v>0.1</v>
      </c>
      <c r="Z490" s="192"/>
      <c r="AA490" s="192"/>
      <c r="AB490" s="192"/>
      <c r="AC490" s="192"/>
      <c r="AD490" s="192"/>
      <c r="AE490" s="192"/>
      <c r="AF490" s="192"/>
      <c r="AG490" s="192"/>
      <c r="AH490" s="192"/>
      <c r="AI490" s="192"/>
      <c r="AJ490" s="192"/>
      <c r="AK490" s="192"/>
      <c r="AL490" s="192"/>
      <c r="AM490" s="192"/>
      <c r="AN490" s="192"/>
      <c r="AO490" s="192"/>
      <c r="AP490" s="192"/>
      <c r="AQ490" s="192"/>
      <c r="AR490" s="192"/>
      <c r="AS490" s="192"/>
      <c r="AT490" s="192"/>
      <c r="AU490" s="192"/>
      <c r="AV490" s="338" t="s">
        <v>292</v>
      </c>
      <c r="AW490" s="338" t="s">
        <v>292</v>
      </c>
      <c r="AX490" s="432" t="s">
        <v>467</v>
      </c>
      <c r="AY490" s="433" t="s">
        <v>467</v>
      </c>
      <c r="AZ490" s="434" t="s">
        <v>1228</v>
      </c>
      <c r="BA490" s="432"/>
      <c r="BB490" s="432"/>
      <c r="BC490" s="195" t="s">
        <v>270</v>
      </c>
      <c r="BD490" s="195"/>
      <c r="BE490" s="195"/>
      <c r="BF490" s="195" t="s">
        <v>263</v>
      </c>
      <c r="BG490" s="195"/>
      <c r="BH490" s="432"/>
    </row>
    <row r="491" spans="1:62" ht="42" customHeight="1">
      <c r="A491" s="344">
        <f>SUBTOTAL(3,C$11:$C491)</f>
        <v>328</v>
      </c>
      <c r="B491" s="337" t="s">
        <v>468</v>
      </c>
      <c r="C491" s="338" t="s">
        <v>46</v>
      </c>
      <c r="D491" s="361">
        <v>0.25</v>
      </c>
      <c r="E491" s="366">
        <v>0.25</v>
      </c>
      <c r="F491" s="361"/>
      <c r="G491" s="414">
        <f>SUM(M491:AR491)</f>
        <v>0.25</v>
      </c>
      <c r="H491" s="413" t="s">
        <v>46</v>
      </c>
      <c r="I491" s="413" t="s">
        <v>46</v>
      </c>
      <c r="J491" s="413"/>
      <c r="K491" s="413" t="str">
        <f>IF(M491&lt;&gt;0,$M$5&amp;", ","")&amp;IF(N491&lt;&gt;0,$N$5&amp;", ","")&amp;IF(O491&lt;&gt;0,O$5&amp;", ","")&amp;IF(P491&lt;&gt;0,P$5&amp;", ","")&amp;IF(Q491&lt;&gt;0,Q$5&amp;", ","")&amp;IF(R491&lt;&gt;0,R$5&amp;", ","")&amp;IF(S491&lt;&gt;0,S$5&amp;", ","")&amp;IF(T491&lt;&gt;0,T$5&amp;", ","")&amp;IF(U491&lt;&gt;0,U$5&amp;", ","")&amp;IF(V491&lt;&gt;0,V$5&amp;", ","")&amp;IF(W491&lt;&gt;0,W$5&amp;", ","")&amp;IF(X491&lt;&gt;0,X$5&amp;", ","")&amp;IF(Y491&lt;&gt;0,Y$5&amp;", ","")&amp;IF(Z491&lt;&gt;0,Z$5&amp;", ","")&amp;IF(AA491&lt;&gt;0,AA$5&amp;", ","")&amp;IF(AB491&lt;&gt;0,AB$5&amp;", ","")&amp;IF(AC491&lt;&gt;0,AC$5&amp;", ","")&amp;IF(AD491&lt;&gt;0,AD$5&amp;", ","")&amp;IF(AE491&lt;&gt;0,AE$5&amp;", ","")&amp;IF(AF491&lt;&gt;0,AF$5&amp;", ","")&amp;IF(AG491&lt;&gt;0,AG$5&amp;", ","")&amp;IF(AH491&lt;&gt;0,AH$5&amp;", ","")&amp;IF(AI491&lt;&gt;0,AI$5&amp;", ","")&amp;IF(AJ491&lt;&gt;0,AJ$5&amp;", ","")&amp;IF(AK491&lt;&gt;0,AK$5&amp;", ","")&amp;IF(AL491&lt;&gt;0,AL$5&amp;", ","")&amp;IF(AM491&lt;&gt;0,AM$5&amp;", ","")&amp;IF(AN491&lt;&gt;0,AN$5&amp;", ","")&amp;IF(AO491&lt;&gt;0,AO$5&amp;", ","")&amp;IF(AP491&lt;&gt;0,AP$5&amp;", ","")&amp;IF(AQ491&lt;&gt;0,AQ$5&amp;", ","")&amp;IF(AR491&lt;&gt;0,AR$5,"")&amp;IF(AS491&lt;&gt;0,AS$5,"")&amp;IF(AT491&lt;&gt;0,AT$5,"")&amp;IF(AU491&lt;&gt;0,AU$5,"")</f>
        <v xml:space="preserve">DVH, </v>
      </c>
      <c r="L491" s="413" t="str">
        <f>IF(M491="","",$M$5&amp;":"&amp;M491&amp;";")&amp;IF(N491="","",$N$5&amp;":"&amp;N491&amp;";")&amp;IF(O491="","",$O$5&amp;":"&amp;O491&amp;";")&amp;IF(P491="","",$P$5&amp;":"&amp;P491&amp;";")&amp;IF(Q491="","",$Q$5&amp;":"&amp;Q491&amp;";")&amp;IF(R491="","",$R$5&amp;":"&amp;R491&amp;";")&amp;IF(S491="","",$S$5&amp;":"&amp;S491&amp;";")&amp;IF(T491="","",$T$5&amp;":"&amp;T491&amp;";")&amp;IF(U491="","",$U$5&amp;":"&amp;U491&amp;";")&amp;IF(V491="","",$V$5&amp;":"&amp;V491&amp;";")&amp;IF(W491="","",$W$5&amp;":"&amp;W491&amp;";")&amp;IF(X491="","",$X$5&amp;":"&amp;X491&amp;";")&amp;IF(Y491="","",$Y$5&amp;":"&amp;Y491&amp;";")&amp;IF(Z491="","",$Z$5&amp;":"&amp;Z491&amp;";")&amp;IF(AA491="","",$AA$5&amp;":"&amp;AA491&amp;";")&amp;IF(AB491="","",$AB$5&amp;":"&amp;AB491&amp;";")&amp;IF(AC491="","",$AC$5&amp;":"&amp;AC491&amp;";")&amp;IF(AD491="","",$AD$5&amp;":"&amp;AD491&amp;";")&amp;IF(AE491="","",$AE$5&amp;":"&amp;AE491&amp;";")&amp;IF(AF491="","",$AF$5&amp;":"&amp;AF491&amp;";")&amp;IF(AG491="","",$AG$5&amp;":"&amp;AG491&amp;";")&amp;IF(AH491="","",$AH$5&amp;":"&amp;AH491&amp;";")&amp;IF(AI491="","",$AI$5&amp;":"&amp;AI491&amp;";")&amp;IF(AJ491="","",$AJ$5&amp;":"&amp;AJ491&amp;";")&amp;IF(AK491="","",$AK$5&amp;":"&amp;AK491&amp;";")&amp;IF(AL491="","",$AL$5&amp;":"&amp;AL491&amp;";")&amp;IF(AM491="","",$AM$5&amp;":"&amp;AM491&amp;";")&amp;IF(AN491="","",$AN$5&amp;":"&amp;AN491&amp;";")&amp;IF(AO491="","",$AO$5&amp;":"&amp;AO491&amp;";")&amp;IF(AP491="","",$AP$5&amp;":"&amp;AP491&amp;";")&amp;IF(AQ491="","",$AQ$5&amp;":"&amp;AQ491&amp;";")&amp;IF(AR491="","",$AR$5&amp;":"&amp;AR491&amp;";")&amp;IF(AS491="","",$AS$5&amp;":"&amp;AS491&amp;";")&amp;IF(AT491="","",$AT$5&amp;":"&amp;AT491&amp;";")&amp;IF(AU491="","",$AU$5&amp;":"&amp;AU491&amp;";")</f>
        <v>DVH:0,25;</v>
      </c>
      <c r="M491" s="361"/>
      <c r="N491" s="361"/>
      <c r="O491" s="361"/>
      <c r="P491" s="361"/>
      <c r="Q491" s="361"/>
      <c r="R491" s="361"/>
      <c r="S491" s="361"/>
      <c r="T491" s="361"/>
      <c r="U491" s="361"/>
      <c r="V491" s="361"/>
      <c r="W491" s="361"/>
      <c r="X491" s="361"/>
      <c r="Y491" s="361">
        <v>0.25</v>
      </c>
      <c r="Z491" s="361"/>
      <c r="AA491" s="361"/>
      <c r="AB491" s="361"/>
      <c r="AC491" s="361"/>
      <c r="AD491" s="361"/>
      <c r="AE491" s="361"/>
      <c r="AF491" s="361"/>
      <c r="AG491" s="361"/>
      <c r="AH491" s="361"/>
      <c r="AI491" s="361"/>
      <c r="AJ491" s="361"/>
      <c r="AK491" s="361"/>
      <c r="AL491" s="361"/>
      <c r="AM491" s="361"/>
      <c r="AN491" s="361"/>
      <c r="AO491" s="361"/>
      <c r="AP491" s="361"/>
      <c r="AQ491" s="361"/>
      <c r="AR491" s="361"/>
      <c r="AS491" s="361"/>
      <c r="AT491" s="361"/>
      <c r="AU491" s="361"/>
      <c r="AV491" s="338" t="s">
        <v>258</v>
      </c>
      <c r="AW491" s="338" t="s">
        <v>258</v>
      </c>
      <c r="AX491" s="432" t="s">
        <v>469</v>
      </c>
      <c r="AY491" s="433" t="s">
        <v>469</v>
      </c>
      <c r="AZ491" s="434" t="s">
        <v>1229</v>
      </c>
      <c r="BA491" s="432"/>
      <c r="BB491" s="432"/>
      <c r="BC491" s="195" t="s">
        <v>270</v>
      </c>
      <c r="BD491" s="195"/>
      <c r="BE491" s="195"/>
      <c r="BF491" s="195" t="s">
        <v>263</v>
      </c>
      <c r="BG491" s="195"/>
      <c r="BH491" s="432"/>
    </row>
    <row r="492" spans="1:62" ht="42" customHeight="1">
      <c r="A492" s="344">
        <f>SUBTOTAL(3,C$11:$C492)</f>
        <v>329</v>
      </c>
      <c r="B492" s="337" t="s">
        <v>472</v>
      </c>
      <c r="C492" s="338" t="s">
        <v>46</v>
      </c>
      <c r="D492" s="361">
        <v>0.2</v>
      </c>
      <c r="E492" s="366">
        <v>0.2</v>
      </c>
      <c r="F492" s="361"/>
      <c r="G492" s="414">
        <f>SUM(M492:AR492)</f>
        <v>0.2</v>
      </c>
      <c r="H492" s="413" t="s">
        <v>46</v>
      </c>
      <c r="I492" s="413" t="s">
        <v>46</v>
      </c>
      <c r="J492" s="413"/>
      <c r="K492" s="413" t="str">
        <f>IF(M492&lt;&gt;0,$M$5&amp;", ","")&amp;IF(N492&lt;&gt;0,$N$5&amp;", ","")&amp;IF(O492&lt;&gt;0,O$5&amp;", ","")&amp;IF(P492&lt;&gt;0,P$5&amp;", ","")&amp;IF(Q492&lt;&gt;0,Q$5&amp;", ","")&amp;IF(R492&lt;&gt;0,R$5&amp;", ","")&amp;IF(S492&lt;&gt;0,S$5&amp;", ","")&amp;IF(T492&lt;&gt;0,T$5&amp;", ","")&amp;IF(U492&lt;&gt;0,U$5&amp;", ","")&amp;IF(V492&lt;&gt;0,V$5&amp;", ","")&amp;IF(W492&lt;&gt;0,W$5&amp;", ","")&amp;IF(X492&lt;&gt;0,X$5&amp;", ","")&amp;IF(Y492&lt;&gt;0,Y$5&amp;", ","")&amp;IF(Z492&lt;&gt;0,Z$5&amp;", ","")&amp;IF(AA492&lt;&gt;0,AA$5&amp;", ","")&amp;IF(AB492&lt;&gt;0,AB$5&amp;", ","")&amp;IF(AC492&lt;&gt;0,AC$5&amp;", ","")&amp;IF(AD492&lt;&gt;0,AD$5&amp;", ","")&amp;IF(AE492&lt;&gt;0,AE$5&amp;", ","")&amp;IF(AF492&lt;&gt;0,AF$5&amp;", ","")&amp;IF(AG492&lt;&gt;0,AG$5&amp;", ","")&amp;IF(AH492&lt;&gt;0,AH$5&amp;", ","")&amp;IF(AI492&lt;&gt;0,AI$5&amp;", ","")&amp;IF(AJ492&lt;&gt;0,AJ$5&amp;", ","")&amp;IF(AK492&lt;&gt;0,AK$5&amp;", ","")&amp;IF(AL492&lt;&gt;0,AL$5&amp;", ","")&amp;IF(AM492&lt;&gt;0,AM$5&amp;", ","")&amp;IF(AN492&lt;&gt;0,AN$5&amp;", ","")&amp;IF(AO492&lt;&gt;0,AO$5&amp;", ","")&amp;IF(AP492&lt;&gt;0,AP$5&amp;", ","")&amp;IF(AQ492&lt;&gt;0,AQ$5&amp;", ","")&amp;IF(AR492&lt;&gt;0,AR$5,"")&amp;IF(AS492&lt;&gt;0,AS$5,"")&amp;IF(AT492&lt;&gt;0,AT$5,"")&amp;IF(AU492&lt;&gt;0,AU$5,"")</f>
        <v xml:space="preserve">DVH, </v>
      </c>
      <c r="L492" s="413" t="str">
        <f>IF(M492="","",$M$5&amp;":"&amp;M492&amp;";")&amp;IF(N492="","",$N$5&amp;":"&amp;N492&amp;";")&amp;IF(O492="","",$O$5&amp;":"&amp;O492&amp;";")&amp;IF(P492="","",$P$5&amp;":"&amp;P492&amp;";")&amp;IF(Q492="","",$Q$5&amp;":"&amp;Q492&amp;";")&amp;IF(R492="","",$R$5&amp;":"&amp;R492&amp;";")&amp;IF(S492="","",$S$5&amp;":"&amp;S492&amp;";")&amp;IF(T492="","",$T$5&amp;":"&amp;T492&amp;";")&amp;IF(U492="","",$U$5&amp;":"&amp;U492&amp;";")&amp;IF(V492="","",$V$5&amp;":"&amp;V492&amp;";")&amp;IF(W492="","",$W$5&amp;":"&amp;W492&amp;";")&amp;IF(X492="","",$X$5&amp;":"&amp;X492&amp;";")&amp;IF(Y492="","",$Y$5&amp;":"&amp;Y492&amp;";")&amp;IF(Z492="","",$Z$5&amp;":"&amp;Z492&amp;";")&amp;IF(AA492="","",$AA$5&amp;":"&amp;AA492&amp;";")&amp;IF(AB492="","",$AB$5&amp;":"&amp;AB492&amp;";")&amp;IF(AC492="","",$AC$5&amp;":"&amp;AC492&amp;";")&amp;IF(AD492="","",$AD$5&amp;":"&amp;AD492&amp;";")&amp;IF(AE492="","",$AE$5&amp;":"&amp;AE492&amp;";")&amp;IF(AF492="","",$AF$5&amp;":"&amp;AF492&amp;";")&amp;IF(AG492="","",$AG$5&amp;":"&amp;AG492&amp;";")&amp;IF(AH492="","",$AH$5&amp;":"&amp;AH492&amp;";")&amp;IF(AI492="","",$AI$5&amp;":"&amp;AI492&amp;";")&amp;IF(AJ492="","",$AJ$5&amp;":"&amp;AJ492&amp;";")&amp;IF(AK492="","",$AK$5&amp;":"&amp;AK492&amp;";")&amp;IF(AL492="","",$AL$5&amp;":"&amp;AL492&amp;";")&amp;IF(AM492="","",$AM$5&amp;":"&amp;AM492&amp;";")&amp;IF(AN492="","",$AN$5&amp;":"&amp;AN492&amp;";")&amp;IF(AO492="","",$AO$5&amp;":"&amp;AO492&amp;";")&amp;IF(AP492="","",$AP$5&amp;":"&amp;AP492&amp;";")&amp;IF(AQ492="","",$AQ$5&amp;":"&amp;AQ492&amp;";")&amp;IF(AR492="","",$AR$5&amp;":"&amp;AR492&amp;";")&amp;IF(AS492="","",$AS$5&amp;":"&amp;AS492&amp;";")&amp;IF(AT492="","",$AT$5&amp;":"&amp;AT492&amp;";")&amp;IF(AU492="","",$AU$5&amp;":"&amp;AU492&amp;";")</f>
        <v>DVH:0,2;</v>
      </c>
      <c r="M492" s="361"/>
      <c r="N492" s="361"/>
      <c r="O492" s="361"/>
      <c r="P492" s="361"/>
      <c r="Q492" s="361"/>
      <c r="R492" s="361"/>
      <c r="S492" s="361"/>
      <c r="T492" s="361"/>
      <c r="U492" s="361"/>
      <c r="V492" s="361"/>
      <c r="W492" s="361"/>
      <c r="X492" s="361"/>
      <c r="Y492" s="361">
        <v>0.2</v>
      </c>
      <c r="Z492" s="361"/>
      <c r="AA492" s="361"/>
      <c r="AB492" s="361"/>
      <c r="AC492" s="361"/>
      <c r="AD492" s="361"/>
      <c r="AE492" s="361"/>
      <c r="AF492" s="361"/>
      <c r="AG492" s="361"/>
      <c r="AH492" s="361"/>
      <c r="AI492" s="361"/>
      <c r="AJ492" s="361"/>
      <c r="AK492" s="361"/>
      <c r="AL492" s="361"/>
      <c r="AM492" s="361"/>
      <c r="AN492" s="361"/>
      <c r="AO492" s="361"/>
      <c r="AP492" s="361"/>
      <c r="AQ492" s="361"/>
      <c r="AR492" s="361"/>
      <c r="AS492" s="361"/>
      <c r="AT492" s="361"/>
      <c r="AU492" s="361"/>
      <c r="AV492" s="338" t="s">
        <v>306</v>
      </c>
      <c r="AW492" s="338" t="s">
        <v>306</v>
      </c>
      <c r="AX492" s="350" t="s">
        <v>473</v>
      </c>
      <c r="AY492" s="356" t="s">
        <v>473</v>
      </c>
      <c r="AZ492" s="352" t="s">
        <v>1231</v>
      </c>
      <c r="BA492" s="350"/>
      <c r="BB492" s="350"/>
      <c r="BC492" s="195" t="s">
        <v>267</v>
      </c>
      <c r="BD492" s="195"/>
      <c r="BE492" s="195"/>
      <c r="BF492" s="195" t="s">
        <v>263</v>
      </c>
      <c r="BG492" s="195"/>
      <c r="BH492" s="350"/>
    </row>
    <row r="493" spans="1:62" ht="42" customHeight="1">
      <c r="A493" s="344">
        <f>SUBTOTAL(3,C$11:$C493)</f>
        <v>330</v>
      </c>
      <c r="B493" s="337" t="s">
        <v>478</v>
      </c>
      <c r="C493" s="338" t="s">
        <v>46</v>
      </c>
      <c r="D493" s="361">
        <v>0.25</v>
      </c>
      <c r="E493" s="361">
        <v>0.25</v>
      </c>
      <c r="F493" s="192"/>
      <c r="G493" s="414">
        <f>SUM(M493:AR493)</f>
        <v>0.25</v>
      </c>
      <c r="H493" s="413" t="s">
        <v>46</v>
      </c>
      <c r="I493" s="413" t="s">
        <v>46</v>
      </c>
      <c r="J493" s="413"/>
      <c r="K493" s="413" t="str">
        <f>IF(M493&lt;&gt;0,$M$5&amp;", ","")&amp;IF(N493&lt;&gt;0,$N$5&amp;", ","")&amp;IF(O493&lt;&gt;0,O$5&amp;", ","")&amp;IF(P493&lt;&gt;0,P$5&amp;", ","")&amp;IF(Q493&lt;&gt;0,Q$5&amp;", ","")&amp;IF(R493&lt;&gt;0,R$5&amp;", ","")&amp;IF(S493&lt;&gt;0,S$5&amp;", ","")&amp;IF(T493&lt;&gt;0,T$5&amp;", ","")&amp;IF(U493&lt;&gt;0,U$5&amp;", ","")&amp;IF(V493&lt;&gt;0,V$5&amp;", ","")&amp;IF(W493&lt;&gt;0,W$5&amp;", ","")&amp;IF(X493&lt;&gt;0,X$5&amp;", ","")&amp;IF(Y493&lt;&gt;0,Y$5&amp;", ","")&amp;IF(Z493&lt;&gt;0,Z$5&amp;", ","")&amp;IF(AA493&lt;&gt;0,AA$5&amp;", ","")&amp;IF(AB493&lt;&gt;0,AB$5&amp;", ","")&amp;IF(AC493&lt;&gt;0,AC$5&amp;", ","")&amp;IF(AD493&lt;&gt;0,AD$5&amp;", ","")&amp;IF(AE493&lt;&gt;0,AE$5&amp;", ","")&amp;IF(AF493&lt;&gt;0,AF$5&amp;", ","")&amp;IF(AG493&lt;&gt;0,AG$5&amp;", ","")&amp;IF(AH493&lt;&gt;0,AH$5&amp;", ","")&amp;IF(AI493&lt;&gt;0,AI$5&amp;", ","")&amp;IF(AJ493&lt;&gt;0,AJ$5&amp;", ","")&amp;IF(AK493&lt;&gt;0,AK$5&amp;", ","")&amp;IF(AL493&lt;&gt;0,AL$5&amp;", ","")&amp;IF(AM493&lt;&gt;0,AM$5&amp;", ","")&amp;IF(AN493&lt;&gt;0,AN$5&amp;", ","")&amp;IF(AO493&lt;&gt;0,AO$5&amp;", ","")&amp;IF(AP493&lt;&gt;0,AP$5&amp;", ","")&amp;IF(AQ493&lt;&gt;0,AQ$5&amp;", ","")&amp;IF(AR493&lt;&gt;0,AR$5,"")&amp;IF(AS493&lt;&gt;0,AS$5,"")&amp;IF(AT493&lt;&gt;0,AT$5,"")&amp;IF(AU493&lt;&gt;0,AU$5,"")</f>
        <v xml:space="preserve">DVH, </v>
      </c>
      <c r="L493" s="413" t="str">
        <f>IF(M493="","",$M$5&amp;":"&amp;M493&amp;";")&amp;IF(N493="","",$N$5&amp;":"&amp;N493&amp;";")&amp;IF(O493="","",$O$5&amp;":"&amp;O493&amp;";")&amp;IF(P493="","",$P$5&amp;":"&amp;P493&amp;";")&amp;IF(Q493="","",$Q$5&amp;":"&amp;Q493&amp;";")&amp;IF(R493="","",$R$5&amp;":"&amp;R493&amp;";")&amp;IF(S493="","",$S$5&amp;":"&amp;S493&amp;";")&amp;IF(T493="","",$T$5&amp;":"&amp;T493&amp;";")&amp;IF(U493="","",$U$5&amp;":"&amp;U493&amp;";")&amp;IF(V493="","",$V$5&amp;":"&amp;V493&amp;";")&amp;IF(W493="","",$W$5&amp;":"&amp;W493&amp;";")&amp;IF(X493="","",$X$5&amp;":"&amp;X493&amp;";")&amp;IF(Y493="","",$Y$5&amp;":"&amp;Y493&amp;";")&amp;IF(Z493="","",$Z$5&amp;":"&amp;Z493&amp;";")&amp;IF(AA493="","",$AA$5&amp;":"&amp;AA493&amp;";")&amp;IF(AB493="","",$AB$5&amp;":"&amp;AB493&amp;";")&amp;IF(AC493="","",$AC$5&amp;":"&amp;AC493&amp;";")&amp;IF(AD493="","",$AD$5&amp;":"&amp;AD493&amp;";")&amp;IF(AE493="","",$AE$5&amp;":"&amp;AE493&amp;";")&amp;IF(AF493="","",$AF$5&amp;":"&amp;AF493&amp;";")&amp;IF(AG493="","",$AG$5&amp;":"&amp;AG493&amp;";")&amp;IF(AH493="","",$AH$5&amp;":"&amp;AH493&amp;";")&amp;IF(AI493="","",$AI$5&amp;":"&amp;AI493&amp;";")&amp;IF(AJ493="","",$AJ$5&amp;":"&amp;AJ493&amp;";")&amp;IF(AK493="","",$AK$5&amp;":"&amp;AK493&amp;";")&amp;IF(AL493="","",$AL$5&amp;":"&amp;AL493&amp;";")&amp;IF(AM493="","",$AM$5&amp;":"&amp;AM493&amp;";")&amp;IF(AN493="","",$AN$5&amp;":"&amp;AN493&amp;";")&amp;IF(AO493="","",$AO$5&amp;":"&amp;AO493&amp;";")&amp;IF(AP493="","",$AP$5&amp;":"&amp;AP493&amp;";")&amp;IF(AQ493="","",$AQ$5&amp;":"&amp;AQ493&amp;";")&amp;IF(AR493="","",$AR$5&amp;":"&amp;AR493&amp;";")&amp;IF(AS493="","",$AS$5&amp;":"&amp;AS493&amp;";")&amp;IF(AT493="","",$AT$5&amp;":"&amp;AT493&amp;";")&amp;IF(AU493="","",$AU$5&amp;":"&amp;AU493&amp;";")</f>
        <v>DVH:0,25;</v>
      </c>
      <c r="M493" s="192"/>
      <c r="N493" s="192"/>
      <c r="O493" s="192"/>
      <c r="P493" s="192"/>
      <c r="Q493" s="192"/>
      <c r="R493" s="192"/>
      <c r="S493" s="192"/>
      <c r="T493" s="192"/>
      <c r="U493" s="192"/>
      <c r="V493" s="192"/>
      <c r="W493" s="192"/>
      <c r="X493" s="192"/>
      <c r="Y493" s="192">
        <v>0.25</v>
      </c>
      <c r="Z493" s="192"/>
      <c r="AA493" s="192"/>
      <c r="AB493" s="192"/>
      <c r="AC493" s="192"/>
      <c r="AD493" s="192"/>
      <c r="AE493" s="192"/>
      <c r="AF493" s="192"/>
      <c r="AG493" s="192"/>
      <c r="AH493" s="192"/>
      <c r="AI493" s="192"/>
      <c r="AJ493" s="192"/>
      <c r="AK493" s="192"/>
      <c r="AL493" s="192"/>
      <c r="AM493" s="192"/>
      <c r="AN493" s="192"/>
      <c r="AO493" s="192"/>
      <c r="AP493" s="192"/>
      <c r="AQ493" s="192"/>
      <c r="AR493" s="192"/>
      <c r="AS493" s="192"/>
      <c r="AT493" s="192"/>
      <c r="AU493" s="192"/>
      <c r="AV493" s="338" t="s">
        <v>266</v>
      </c>
      <c r="AW493" s="338" t="s">
        <v>266</v>
      </c>
      <c r="AX493" s="350" t="s">
        <v>479</v>
      </c>
      <c r="AY493" s="356" t="s">
        <v>479</v>
      </c>
      <c r="AZ493" s="352" t="s">
        <v>1234</v>
      </c>
      <c r="BA493" s="350"/>
      <c r="BB493" s="350"/>
      <c r="BC493" s="195" t="s">
        <v>316</v>
      </c>
      <c r="BD493" s="195"/>
      <c r="BE493" s="195"/>
      <c r="BF493" s="195" t="s">
        <v>263</v>
      </c>
      <c r="BG493" s="195"/>
      <c r="BH493" s="350"/>
    </row>
    <row r="494" spans="1:62" s="179" customFormat="1" ht="24.65" customHeight="1">
      <c r="A494" s="145"/>
      <c r="B494" s="163" t="s">
        <v>1758</v>
      </c>
      <c r="C494" s="164"/>
      <c r="D494" s="368"/>
      <c r="E494" s="368"/>
      <c r="F494" s="368"/>
      <c r="G494" s="410"/>
      <c r="H494" s="411"/>
      <c r="I494" s="411"/>
      <c r="J494" s="411"/>
      <c r="K494" s="411"/>
      <c r="L494" s="411"/>
      <c r="M494" s="368"/>
      <c r="N494" s="368"/>
      <c r="O494" s="368"/>
      <c r="P494" s="368"/>
      <c r="Q494" s="368"/>
      <c r="R494" s="368"/>
      <c r="S494" s="368"/>
      <c r="T494" s="368"/>
      <c r="U494" s="368"/>
      <c r="V494" s="368"/>
      <c r="W494" s="368"/>
      <c r="X494" s="368"/>
      <c r="Y494" s="368"/>
      <c r="Z494" s="368"/>
      <c r="AA494" s="368"/>
      <c r="AB494" s="368"/>
      <c r="AC494" s="368"/>
      <c r="AD494" s="368"/>
      <c r="AE494" s="368"/>
      <c r="AF494" s="368"/>
      <c r="AG494" s="368"/>
      <c r="AH494" s="368"/>
      <c r="AI494" s="368"/>
      <c r="AJ494" s="368"/>
      <c r="AK494" s="368"/>
      <c r="AL494" s="368"/>
      <c r="AM494" s="368"/>
      <c r="AN494" s="368"/>
      <c r="AO494" s="368"/>
      <c r="AP494" s="368"/>
      <c r="AQ494" s="368"/>
      <c r="AR494" s="368"/>
      <c r="AS494" s="368"/>
      <c r="AT494" s="368"/>
      <c r="AU494" s="368"/>
      <c r="AV494" s="368"/>
      <c r="AW494" s="368"/>
      <c r="AX494" s="368"/>
      <c r="AY494" s="257"/>
      <c r="AZ494" s="178"/>
      <c r="BA494" s="368"/>
      <c r="BB494" s="368"/>
      <c r="BC494" s="165"/>
      <c r="BD494" s="165"/>
      <c r="BE494" s="165"/>
      <c r="BF494" s="165"/>
      <c r="BG494" s="165"/>
      <c r="BH494" s="368"/>
      <c r="BI494" s="412"/>
      <c r="BJ494" s="412"/>
    </row>
    <row r="495" spans="1:62" s="663" customFormat="1" ht="42" customHeight="1">
      <c r="A495" s="669">
        <f>SUBTOTAL(3,C$11:$C495)</f>
        <v>331</v>
      </c>
      <c r="B495" s="670" t="s">
        <v>1235</v>
      </c>
      <c r="C495" s="658" t="s">
        <v>46</v>
      </c>
      <c r="D495" s="671">
        <v>0.05</v>
      </c>
      <c r="E495" s="671">
        <v>0.05</v>
      </c>
      <c r="F495" s="672"/>
      <c r="G495" s="655">
        <f>SUM(M495:AR495)</f>
        <v>0.25</v>
      </c>
      <c r="H495" s="656" t="s">
        <v>46</v>
      </c>
      <c r="I495" s="656" t="s">
        <v>46</v>
      </c>
      <c r="J495" s="656"/>
      <c r="K495" s="656" t="str">
        <f>IF(M495&lt;&gt;0,$M$5&amp;", ","")&amp;IF(N495&lt;&gt;0,$N$5&amp;", ","")&amp;IF(O495&lt;&gt;0,O$5&amp;", ","")&amp;IF(P495&lt;&gt;0,P$5&amp;", ","")&amp;IF(Q495&lt;&gt;0,Q$5&amp;", ","")&amp;IF(R495&lt;&gt;0,R$5&amp;", ","")&amp;IF(S495&lt;&gt;0,S$5&amp;", ","")&amp;IF(T495&lt;&gt;0,T$5&amp;", ","")&amp;IF(U495&lt;&gt;0,U$5&amp;", ","")&amp;IF(V495&lt;&gt;0,V$5&amp;", ","")&amp;IF(W495&lt;&gt;0,W$5&amp;", ","")&amp;IF(X495&lt;&gt;0,X$5&amp;", ","")&amp;IF(Y495&lt;&gt;0,Y$5&amp;", ","")&amp;IF(Z495&lt;&gt;0,Z$5&amp;", ","")&amp;IF(AA495&lt;&gt;0,AA$5&amp;", ","")&amp;IF(AB495&lt;&gt;0,AB$5&amp;", ","")&amp;IF(AC495&lt;&gt;0,AC$5&amp;", ","")&amp;IF(AD495&lt;&gt;0,AD$5&amp;", ","")&amp;IF(AE495&lt;&gt;0,AE$5&amp;", ","")&amp;IF(AF495&lt;&gt;0,AF$5&amp;", ","")&amp;IF(AG495&lt;&gt;0,AG$5&amp;", ","")&amp;IF(AH495&lt;&gt;0,AH$5&amp;", ","")&amp;IF(AI495&lt;&gt;0,AI$5&amp;", ","")&amp;IF(AJ495&lt;&gt;0,AJ$5&amp;", ","")&amp;IF(AK495&lt;&gt;0,AK$5&amp;", ","")&amp;IF(AL495&lt;&gt;0,AL$5&amp;", ","")&amp;IF(AM495&lt;&gt;0,AM$5&amp;", ","")&amp;IF(AN495&lt;&gt;0,AN$5&amp;", ","")&amp;IF(AO495&lt;&gt;0,AO$5&amp;", ","")&amp;IF(AP495&lt;&gt;0,AP$5&amp;", ","")&amp;IF(AQ495&lt;&gt;0,AQ$5&amp;", ","")&amp;IF(AR495&lt;&gt;0,AR$5,"")&amp;IF(AS495&lt;&gt;0,AS$5,"")&amp;IF(AT495&lt;&gt;0,AT$5,"")&amp;IF(AU495&lt;&gt;0,AU$5,"")</f>
        <v xml:space="preserve">DVH, </v>
      </c>
      <c r="L495" s="656" t="str">
        <f>IF(M495="","",$M$5&amp;":"&amp;M495&amp;";")&amp;IF(N495="","",$N$5&amp;":"&amp;N495&amp;";")&amp;IF(O495="","",$O$5&amp;":"&amp;O495&amp;";")&amp;IF(P495="","",$P$5&amp;":"&amp;P495&amp;";")&amp;IF(Q495="","",$Q$5&amp;":"&amp;Q495&amp;";")&amp;IF(R495="","",$R$5&amp;":"&amp;R495&amp;";")&amp;IF(S495="","",$S$5&amp;":"&amp;S495&amp;";")&amp;IF(T495="","",$T$5&amp;":"&amp;T495&amp;";")&amp;IF(U495="","",$U$5&amp;":"&amp;U495&amp;";")&amp;IF(V495="","",$V$5&amp;":"&amp;V495&amp;";")&amp;IF(W495="","",$W$5&amp;":"&amp;W495&amp;";")&amp;IF(X495="","",$X$5&amp;":"&amp;X495&amp;";")&amp;IF(Y495="","",$Y$5&amp;":"&amp;Y495&amp;";")&amp;IF(Z495="","",$Z$5&amp;":"&amp;Z495&amp;";")&amp;IF(AA495="","",$AA$5&amp;":"&amp;AA495&amp;";")&amp;IF(AB495="","",$AB$5&amp;":"&amp;AB495&amp;";")&amp;IF(AC495="","",$AC$5&amp;":"&amp;AC495&amp;";")&amp;IF(AD495="","",$AD$5&amp;":"&amp;AD495&amp;";")&amp;IF(AE495="","",$AE$5&amp;":"&amp;AE495&amp;";")&amp;IF(AF495="","",$AF$5&amp;":"&amp;AF495&amp;";")&amp;IF(AG495="","",$AG$5&amp;":"&amp;AG495&amp;";")&amp;IF(AH495="","",$AH$5&amp;":"&amp;AH495&amp;";")&amp;IF(AI495="","",$AI$5&amp;":"&amp;AI495&amp;";")&amp;IF(AJ495="","",$AJ$5&amp;":"&amp;AJ495&amp;";")&amp;IF(AK495="","",$AK$5&amp;":"&amp;AK495&amp;";")&amp;IF(AL495="","",$AL$5&amp;":"&amp;AL495&amp;";")&amp;IF(AM495="","",$AM$5&amp;":"&amp;AM495&amp;";")&amp;IF(AN495="","",$AN$5&amp;":"&amp;AN495&amp;";")&amp;IF(AO495="","",$AO$5&amp;":"&amp;AO495&amp;";")&amp;IF(AP495="","",$AP$5&amp;":"&amp;AP495&amp;";")&amp;IF(AQ495="","",$AQ$5&amp;":"&amp;AQ495&amp;";")&amp;IF(AR495="","",$AR$5&amp;":"&amp;AR495&amp;";")&amp;IF(AS495="","",$AS$5&amp;":"&amp;AS495&amp;";")&amp;IF(AT495="","",$AT$5&amp;":"&amp;AT495&amp;";")&amp;IF(AU495="","",$AU$5&amp;":"&amp;AU495&amp;";")</f>
        <v>DVH:0,25;</v>
      </c>
      <c r="M495" s="672"/>
      <c r="N495" s="672"/>
      <c r="O495" s="672"/>
      <c r="P495" s="672"/>
      <c r="Q495" s="672"/>
      <c r="R495" s="672"/>
      <c r="S495" s="672"/>
      <c r="T495" s="672"/>
      <c r="U495" s="672"/>
      <c r="V495" s="672"/>
      <c r="W495" s="672"/>
      <c r="X495" s="672"/>
      <c r="Y495" s="672">
        <v>0.25</v>
      </c>
      <c r="Z495" s="672"/>
      <c r="AA495" s="672"/>
      <c r="AB495" s="672"/>
      <c r="AC495" s="672"/>
      <c r="AD495" s="672"/>
      <c r="AE495" s="672"/>
      <c r="AF495" s="672"/>
      <c r="AG495" s="672"/>
      <c r="AH495" s="672"/>
      <c r="AI495" s="672"/>
      <c r="AJ495" s="672"/>
      <c r="AK495" s="672"/>
      <c r="AL495" s="672"/>
      <c r="AM495" s="672"/>
      <c r="AN495" s="672"/>
      <c r="AO495" s="672"/>
      <c r="AP495" s="672"/>
      <c r="AQ495" s="672"/>
      <c r="AR495" s="672"/>
      <c r="AS495" s="672"/>
      <c r="AT495" s="672"/>
      <c r="AU495" s="672"/>
      <c r="AV495" s="673" t="s">
        <v>300</v>
      </c>
      <c r="AW495" s="673" t="s">
        <v>300</v>
      </c>
      <c r="AX495" s="674" t="s">
        <v>1191</v>
      </c>
      <c r="AY495" s="675" t="s">
        <v>1191</v>
      </c>
      <c r="AZ495" s="676" t="s">
        <v>1234</v>
      </c>
      <c r="BA495" s="673"/>
      <c r="BB495" s="673"/>
      <c r="BC495" s="677" t="s">
        <v>316</v>
      </c>
      <c r="BD495" s="677"/>
      <c r="BE495" s="677"/>
      <c r="BF495" s="677" t="s">
        <v>263</v>
      </c>
      <c r="BG495" s="677"/>
      <c r="BH495" s="673"/>
      <c r="BI495" s="662"/>
      <c r="BJ495" s="662" t="s">
        <v>1963</v>
      </c>
    </row>
    <row r="496" spans="1:62" ht="42" customHeight="1">
      <c r="A496" s="344">
        <f>SUBTOTAL(3,C$11:$C496)</f>
        <v>332</v>
      </c>
      <c r="B496" s="337" t="s">
        <v>480</v>
      </c>
      <c r="C496" s="338" t="s">
        <v>46</v>
      </c>
      <c r="D496" s="361">
        <v>0.13</v>
      </c>
      <c r="E496" s="366">
        <v>0.13</v>
      </c>
      <c r="F496" s="361"/>
      <c r="G496" s="414">
        <f>SUM(M496:AR496)</f>
        <v>0.13</v>
      </c>
      <c r="H496" s="413" t="s">
        <v>46</v>
      </c>
      <c r="I496" s="413" t="s">
        <v>46</v>
      </c>
      <c r="J496" s="413"/>
      <c r="K496" s="413" t="str">
        <f>IF(M496&lt;&gt;0,$M$5&amp;", ","")&amp;IF(N496&lt;&gt;0,$N$5&amp;", ","")&amp;IF(O496&lt;&gt;0,O$5&amp;", ","")&amp;IF(P496&lt;&gt;0,P$5&amp;", ","")&amp;IF(Q496&lt;&gt;0,Q$5&amp;", ","")&amp;IF(R496&lt;&gt;0,R$5&amp;", ","")&amp;IF(S496&lt;&gt;0,S$5&amp;", ","")&amp;IF(T496&lt;&gt;0,T$5&amp;", ","")&amp;IF(U496&lt;&gt;0,U$5&amp;", ","")&amp;IF(V496&lt;&gt;0,V$5&amp;", ","")&amp;IF(W496&lt;&gt;0,W$5&amp;", ","")&amp;IF(X496&lt;&gt;0,X$5&amp;", ","")&amp;IF(Y496&lt;&gt;0,Y$5&amp;", ","")&amp;IF(Z496&lt;&gt;0,Z$5&amp;", ","")&amp;IF(AA496&lt;&gt;0,AA$5&amp;", ","")&amp;IF(AB496&lt;&gt;0,AB$5&amp;", ","")&amp;IF(AC496&lt;&gt;0,AC$5&amp;", ","")&amp;IF(AD496&lt;&gt;0,AD$5&amp;", ","")&amp;IF(AE496&lt;&gt;0,AE$5&amp;", ","")&amp;IF(AF496&lt;&gt;0,AF$5&amp;", ","")&amp;IF(AG496&lt;&gt;0,AG$5&amp;", ","")&amp;IF(AH496&lt;&gt;0,AH$5&amp;", ","")&amp;IF(AI496&lt;&gt;0,AI$5&amp;", ","")&amp;IF(AJ496&lt;&gt;0,AJ$5&amp;", ","")&amp;IF(AK496&lt;&gt;0,AK$5&amp;", ","")&amp;IF(AL496&lt;&gt;0,AL$5&amp;", ","")&amp;IF(AM496&lt;&gt;0,AM$5&amp;", ","")&amp;IF(AN496&lt;&gt;0,AN$5&amp;", ","")&amp;IF(AO496&lt;&gt;0,AO$5&amp;", ","")&amp;IF(AP496&lt;&gt;0,AP$5&amp;", ","")&amp;IF(AQ496&lt;&gt;0,AQ$5&amp;", ","")&amp;IF(AR496&lt;&gt;0,AR$5,"")&amp;IF(AS496&lt;&gt;0,AS$5,"")&amp;IF(AT496&lt;&gt;0,AT$5,"")&amp;IF(AU496&lt;&gt;0,AU$5,"")</f>
        <v xml:space="preserve">DVH, </v>
      </c>
      <c r="L496" s="413" t="str">
        <f>IF(M496="","",$M$5&amp;":"&amp;M496&amp;";")&amp;IF(N496="","",$N$5&amp;":"&amp;N496&amp;";")&amp;IF(O496="","",$O$5&amp;":"&amp;O496&amp;";")&amp;IF(P496="","",$P$5&amp;":"&amp;P496&amp;";")&amp;IF(Q496="","",$Q$5&amp;":"&amp;Q496&amp;";")&amp;IF(R496="","",$R$5&amp;":"&amp;R496&amp;";")&amp;IF(S496="","",$S$5&amp;":"&amp;S496&amp;";")&amp;IF(T496="","",$T$5&amp;":"&amp;T496&amp;";")&amp;IF(U496="","",$U$5&amp;":"&amp;U496&amp;";")&amp;IF(V496="","",$V$5&amp;":"&amp;V496&amp;";")&amp;IF(W496="","",$W$5&amp;":"&amp;W496&amp;";")&amp;IF(X496="","",$X$5&amp;":"&amp;X496&amp;";")&amp;IF(Y496="","",$Y$5&amp;":"&amp;Y496&amp;";")&amp;IF(Z496="","",$Z$5&amp;":"&amp;Z496&amp;";")&amp;IF(AA496="","",$AA$5&amp;":"&amp;AA496&amp;";")&amp;IF(AB496="","",$AB$5&amp;":"&amp;AB496&amp;";")&amp;IF(AC496="","",$AC$5&amp;":"&amp;AC496&amp;";")&amp;IF(AD496="","",$AD$5&amp;":"&amp;AD496&amp;";")&amp;IF(AE496="","",$AE$5&amp;":"&amp;AE496&amp;";")&amp;IF(AF496="","",$AF$5&amp;":"&amp;AF496&amp;";")&amp;IF(AG496="","",$AG$5&amp;":"&amp;AG496&amp;";")&amp;IF(AH496="","",$AH$5&amp;":"&amp;AH496&amp;";")&amp;IF(AI496="","",$AI$5&amp;":"&amp;AI496&amp;";")&amp;IF(AJ496="","",$AJ$5&amp;":"&amp;AJ496&amp;";")&amp;IF(AK496="","",$AK$5&amp;":"&amp;AK496&amp;";")&amp;IF(AL496="","",$AL$5&amp;":"&amp;AL496&amp;";")&amp;IF(AM496="","",$AM$5&amp;":"&amp;AM496&amp;";")&amp;IF(AN496="","",$AN$5&amp;":"&amp;AN496&amp;";")&amp;IF(AO496="","",$AO$5&amp;":"&amp;AO496&amp;";")&amp;IF(AP496="","",$AP$5&amp;":"&amp;AP496&amp;";")&amp;IF(AQ496="","",$AQ$5&amp;":"&amp;AQ496&amp;";")&amp;IF(AR496="","",$AR$5&amp;":"&amp;AR496&amp;";")&amp;IF(AS496="","",$AS$5&amp;":"&amp;AS496&amp;";")&amp;IF(AT496="","",$AT$5&amp;":"&amp;AT496&amp;";")&amp;IF(AU496="","",$AU$5&amp;":"&amp;AU496&amp;";")</f>
        <v>DVH:0,13;</v>
      </c>
      <c r="M496" s="361"/>
      <c r="N496" s="361"/>
      <c r="O496" s="361"/>
      <c r="P496" s="361"/>
      <c r="Q496" s="361"/>
      <c r="R496" s="361"/>
      <c r="S496" s="361"/>
      <c r="T496" s="361"/>
      <c r="U496" s="361"/>
      <c r="V496" s="361"/>
      <c r="W496" s="361"/>
      <c r="X496" s="361"/>
      <c r="Y496" s="361">
        <v>0.13</v>
      </c>
      <c r="Z496" s="361"/>
      <c r="AA496" s="361"/>
      <c r="AB496" s="361"/>
      <c r="AC496" s="361"/>
      <c r="AD496" s="361"/>
      <c r="AE496" s="361"/>
      <c r="AF496" s="361"/>
      <c r="AG496" s="361"/>
      <c r="AH496" s="361"/>
      <c r="AI496" s="361"/>
      <c r="AJ496" s="361"/>
      <c r="AK496" s="361"/>
      <c r="AL496" s="361"/>
      <c r="AM496" s="361"/>
      <c r="AN496" s="361"/>
      <c r="AO496" s="361"/>
      <c r="AP496" s="361"/>
      <c r="AQ496" s="361"/>
      <c r="AR496" s="361"/>
      <c r="AS496" s="361"/>
      <c r="AT496" s="361"/>
      <c r="AU496" s="361"/>
      <c r="AV496" s="338" t="s">
        <v>283</v>
      </c>
      <c r="AW496" s="338" t="s">
        <v>283</v>
      </c>
      <c r="AX496" s="350" t="s">
        <v>1125</v>
      </c>
      <c r="AY496" s="356" t="s">
        <v>1125</v>
      </c>
      <c r="AZ496" s="434" t="s">
        <v>1236</v>
      </c>
      <c r="BA496" s="432" t="s">
        <v>357</v>
      </c>
      <c r="BB496" s="432"/>
      <c r="BC496" s="195" t="s">
        <v>358</v>
      </c>
      <c r="BD496" s="195"/>
      <c r="BE496" s="195"/>
      <c r="BF496" s="195"/>
      <c r="BG496" s="195"/>
      <c r="BH496" s="432"/>
    </row>
    <row r="497" spans="1:62" ht="25" customHeight="1">
      <c r="A497" s="529" t="s">
        <v>976</v>
      </c>
      <c r="B497" s="530" t="s">
        <v>166</v>
      </c>
      <c r="C497" s="529"/>
      <c r="D497" s="350"/>
      <c r="E497" s="350"/>
      <c r="F497" s="350"/>
      <c r="G497" s="414"/>
      <c r="H497" s="413"/>
      <c r="I497" s="413"/>
      <c r="J497" s="413"/>
      <c r="K497" s="413" t="str">
        <f>IF(M497&lt;&gt;0,$M$5&amp;", ","")&amp;IF(N497&lt;&gt;0,$N$5&amp;", ","")&amp;IF(O497&lt;&gt;0,O$5&amp;", ","")&amp;IF(P497&lt;&gt;0,P$5&amp;", ","")&amp;IF(Q497&lt;&gt;0,Q$5&amp;", ","")&amp;IF(R497&lt;&gt;0,R$5&amp;", ","")&amp;IF(S497&lt;&gt;0,S$5&amp;", ","")&amp;IF(T497&lt;&gt;0,T$5&amp;", ","")&amp;IF(U497&lt;&gt;0,U$5&amp;", ","")&amp;IF(V497&lt;&gt;0,V$5&amp;", ","")&amp;IF(W497&lt;&gt;0,W$5&amp;", ","")&amp;IF(X497&lt;&gt;0,X$5&amp;", ","")&amp;IF(Y497&lt;&gt;0,Y$5&amp;", ","")&amp;IF(Z497&lt;&gt;0,Z$5&amp;", ","")&amp;IF(AA497&lt;&gt;0,AA$5&amp;", ","")&amp;IF(AB497&lt;&gt;0,AB$5&amp;", ","")&amp;IF(AC497&lt;&gt;0,AC$5&amp;", ","")&amp;IF(AD497&lt;&gt;0,AD$5&amp;", ","")&amp;IF(AE497&lt;&gt;0,AE$5&amp;", ","")&amp;IF(AF497&lt;&gt;0,AF$5&amp;", ","")&amp;IF(AG497&lt;&gt;0,AG$5&amp;", ","")&amp;IF(AH497&lt;&gt;0,AH$5&amp;", ","")&amp;IF(AI497&lt;&gt;0,AI$5&amp;", ","")&amp;IF(AJ497&lt;&gt;0,AJ$5&amp;", ","")&amp;IF(AK497&lt;&gt;0,AK$5&amp;", ","")&amp;IF(AL497&lt;&gt;0,AL$5&amp;", ","")&amp;IF(AM497&lt;&gt;0,AM$5&amp;", ","")&amp;IF(AN497&lt;&gt;0,AN$5&amp;", ","")&amp;IF(AO497&lt;&gt;0,AO$5&amp;", ","")&amp;IF(AP497&lt;&gt;0,AP$5&amp;", ","")&amp;IF(AQ497&lt;&gt;0,AQ$5&amp;", ","")&amp;IF(AR497&lt;&gt;0,AR$5,"")&amp;IF(AS497&lt;&gt;0,AS$5,"")&amp;IF(AT497&lt;&gt;0,AT$5,"")&amp;IF(AU497&lt;&gt;0,AU$5,"")</f>
        <v/>
      </c>
      <c r="L497" s="413" t="str">
        <f>IF(M497="","",$M$5&amp;":"&amp;M497&amp;";")&amp;IF(N497="","",$N$5&amp;":"&amp;N497&amp;";")&amp;IF(O497="","",$O$5&amp;":"&amp;O497&amp;";")&amp;IF(P497="","",$P$5&amp;":"&amp;P497&amp;";")&amp;IF(Q497="","",$Q$5&amp;":"&amp;Q497&amp;";")&amp;IF(R497="","",$R$5&amp;":"&amp;R497&amp;";")&amp;IF(S497="","",$S$5&amp;":"&amp;S497&amp;";")&amp;IF(T497="","",$T$5&amp;":"&amp;T497&amp;";")&amp;IF(U497="","",$U$5&amp;":"&amp;U497&amp;";")&amp;IF(V497="","",$V$5&amp;":"&amp;V497&amp;";")&amp;IF(W497="","",$W$5&amp;":"&amp;W497&amp;";")&amp;IF(X497="","",$X$5&amp;":"&amp;X497&amp;";")&amp;IF(Y497="","",$Y$5&amp;":"&amp;Y497&amp;";")&amp;IF(Z497="","",$Z$5&amp;":"&amp;Z497&amp;";")&amp;IF(AA497="","",$AA$5&amp;":"&amp;AA497&amp;";")&amp;IF(AB497="","",$AB$5&amp;":"&amp;AB497&amp;";")&amp;IF(AC497="","",$AC$5&amp;":"&amp;AC497&amp;";")&amp;IF(AD497="","",$AD$5&amp;":"&amp;AD497&amp;";")&amp;IF(AE497="","",$AE$5&amp;":"&amp;AE497&amp;";")&amp;IF(AF497="","",$AF$5&amp;":"&amp;AF497&amp;";")&amp;IF(AG497="","",$AG$5&amp;":"&amp;AG497&amp;";")&amp;IF(AH497="","",$AH$5&amp;":"&amp;AH497&amp;";")&amp;IF(AI497="","",$AI$5&amp;":"&amp;AI497&amp;";")&amp;IF(AJ497="","",$AJ$5&amp;":"&amp;AJ497&amp;";")&amp;IF(AK497="","",$AK$5&amp;":"&amp;AK497&amp;";")&amp;IF(AL497="","",$AL$5&amp;":"&amp;AL497&amp;";")&amp;IF(AM497="","",$AM$5&amp;":"&amp;AM497&amp;";")&amp;IF(AN497="","",$AN$5&amp;":"&amp;AN497&amp;";")&amp;IF(AO497="","",$AO$5&amp;":"&amp;AO497&amp;";")&amp;IF(AP497="","",$AP$5&amp;":"&amp;AP497&amp;";")&amp;IF(AQ497="","",$AQ$5&amp;":"&amp;AQ497&amp;";")&amp;IF(AR497="","",$AR$5&amp;":"&amp;AR497&amp;";")&amp;IF(AS497="","",$AS$5&amp;":"&amp;AS497&amp;";")&amp;IF(AT497="","",$AT$5&amp;":"&amp;AT497&amp;";")&amp;IF(AU497="","",$AU$5&amp;":"&amp;AU497&amp;";")</f>
        <v/>
      </c>
      <c r="M497" s="350"/>
      <c r="N497" s="350"/>
      <c r="O497" s="350"/>
      <c r="P497" s="350"/>
      <c r="Q497" s="350"/>
      <c r="R497" s="350"/>
      <c r="S497" s="350"/>
      <c r="T497" s="350"/>
      <c r="U497" s="350"/>
      <c r="V497" s="350"/>
      <c r="W497" s="350"/>
      <c r="X497" s="350"/>
      <c r="Y497" s="350"/>
      <c r="Z497" s="350"/>
      <c r="AA497" s="350"/>
      <c r="AB497" s="350"/>
      <c r="AC497" s="350"/>
      <c r="AD497" s="350"/>
      <c r="AE497" s="350"/>
      <c r="AF497" s="350"/>
      <c r="AG497" s="350"/>
      <c r="AH497" s="350"/>
      <c r="AI497" s="350"/>
      <c r="AJ497" s="350"/>
      <c r="AK497" s="350"/>
      <c r="AL497" s="350"/>
      <c r="AM497" s="350"/>
      <c r="AN497" s="350"/>
      <c r="AO497" s="350"/>
      <c r="AP497" s="350"/>
      <c r="AQ497" s="350"/>
      <c r="AR497" s="350"/>
      <c r="AS497" s="350"/>
      <c r="AT497" s="350"/>
      <c r="AU497" s="350"/>
      <c r="AV497" s="350"/>
      <c r="AW497" s="350"/>
      <c r="AX497" s="350"/>
      <c r="AY497" s="356"/>
      <c r="AZ497" s="352"/>
      <c r="BA497" s="350"/>
      <c r="BB497" s="350"/>
      <c r="BC497" s="195"/>
      <c r="BD497" s="195"/>
      <c r="BE497" s="195"/>
      <c r="BF497" s="195"/>
      <c r="BG497" s="195"/>
      <c r="BH497" s="350"/>
    </row>
    <row r="498" spans="1:62" s="179" customFormat="1" ht="24.65" customHeight="1">
      <c r="A498" s="145"/>
      <c r="B498" s="163" t="s">
        <v>1757</v>
      </c>
      <c r="C498" s="164"/>
      <c r="D498" s="368"/>
      <c r="E498" s="368"/>
      <c r="F498" s="368"/>
      <c r="G498" s="410"/>
      <c r="H498" s="411"/>
      <c r="I498" s="411"/>
      <c r="J498" s="411"/>
      <c r="K498" s="411"/>
      <c r="L498" s="411"/>
      <c r="M498" s="368"/>
      <c r="N498" s="368"/>
      <c r="O498" s="368"/>
      <c r="P498" s="368"/>
      <c r="Q498" s="368"/>
      <c r="R498" s="368"/>
      <c r="S498" s="368"/>
      <c r="T498" s="368"/>
      <c r="U498" s="368"/>
      <c r="V498" s="368"/>
      <c r="W498" s="368"/>
      <c r="X498" s="368"/>
      <c r="Y498" s="368"/>
      <c r="Z498" s="368"/>
      <c r="AA498" s="368"/>
      <c r="AB498" s="368"/>
      <c r="AC498" s="368"/>
      <c r="AD498" s="368"/>
      <c r="AE498" s="368"/>
      <c r="AF498" s="368"/>
      <c r="AG498" s="368"/>
      <c r="AH498" s="368"/>
      <c r="AI498" s="368"/>
      <c r="AJ498" s="368"/>
      <c r="AK498" s="368"/>
      <c r="AL498" s="368"/>
      <c r="AM498" s="368"/>
      <c r="AN498" s="368"/>
      <c r="AO498" s="368"/>
      <c r="AP498" s="368"/>
      <c r="AQ498" s="368"/>
      <c r="AR498" s="368"/>
      <c r="AS498" s="368"/>
      <c r="AT498" s="368"/>
      <c r="AU498" s="368"/>
      <c r="AV498" s="368"/>
      <c r="AW498" s="368"/>
      <c r="AX498" s="368"/>
      <c r="AY498" s="257"/>
      <c r="AZ498" s="178"/>
      <c r="BA498" s="368"/>
      <c r="BB498" s="368"/>
      <c r="BC498" s="165"/>
      <c r="BD498" s="165"/>
      <c r="BE498" s="165"/>
      <c r="BF498" s="165"/>
      <c r="BG498" s="165"/>
      <c r="BH498" s="368"/>
      <c r="BI498" s="412"/>
      <c r="BJ498" s="412"/>
    </row>
    <row r="499" spans="1:62" ht="42" customHeight="1">
      <c r="A499" s="344">
        <f>SUBTOTAL(3,C$11:$C499)</f>
        <v>333</v>
      </c>
      <c r="B499" s="337" t="s">
        <v>494</v>
      </c>
      <c r="C499" s="338" t="s">
        <v>48</v>
      </c>
      <c r="D499" s="339">
        <v>0.87</v>
      </c>
      <c r="E499" s="339">
        <v>0.87</v>
      </c>
      <c r="F499" s="339"/>
      <c r="G499" s="414">
        <f t="shared" ref="G499:G518" si="71">SUM(M499:AR499)</f>
        <v>0.87</v>
      </c>
      <c r="H499" s="413" t="s">
        <v>48</v>
      </c>
      <c r="I499" s="413" t="s">
        <v>48</v>
      </c>
      <c r="J499" s="413"/>
      <c r="K499" s="413" t="str">
        <f t="shared" ref="K499:K518" si="72">IF(M499&lt;&gt;0,$M$5&amp;", ","")&amp;IF(N499&lt;&gt;0,$N$5&amp;", ","")&amp;IF(O499&lt;&gt;0,O$5&amp;", ","")&amp;IF(P499&lt;&gt;0,P$5&amp;", ","")&amp;IF(Q499&lt;&gt;0,Q$5&amp;", ","")&amp;IF(R499&lt;&gt;0,R$5&amp;", ","")&amp;IF(S499&lt;&gt;0,S$5&amp;", ","")&amp;IF(T499&lt;&gt;0,T$5&amp;", ","")&amp;IF(U499&lt;&gt;0,U$5&amp;", ","")&amp;IF(V499&lt;&gt;0,V$5&amp;", ","")&amp;IF(W499&lt;&gt;0,W$5&amp;", ","")&amp;IF(X499&lt;&gt;0,X$5&amp;", ","")&amp;IF(Y499&lt;&gt;0,Y$5&amp;", ","")&amp;IF(Z499&lt;&gt;0,Z$5&amp;", ","")&amp;IF(AA499&lt;&gt;0,AA$5&amp;", ","")&amp;IF(AB499&lt;&gt;0,AB$5&amp;", ","")&amp;IF(AC499&lt;&gt;0,AC$5&amp;", ","")&amp;IF(AD499&lt;&gt;0,AD$5&amp;", ","")&amp;IF(AE499&lt;&gt;0,AE$5&amp;", ","")&amp;IF(AF499&lt;&gt;0,AF$5&amp;", ","")&amp;IF(AG499&lt;&gt;0,AG$5&amp;", ","")&amp;IF(AH499&lt;&gt;0,AH$5&amp;", ","")&amp;IF(AI499&lt;&gt;0,AI$5&amp;", ","")&amp;IF(AJ499&lt;&gt;0,AJ$5&amp;", ","")&amp;IF(AK499&lt;&gt;0,AK$5&amp;", ","")&amp;IF(AL499&lt;&gt;0,AL$5&amp;", ","")&amp;IF(AM499&lt;&gt;0,AM$5&amp;", ","")&amp;IF(AN499&lt;&gt;0,AN$5&amp;", ","")&amp;IF(AO499&lt;&gt;0,AO$5&amp;", ","")&amp;IF(AP499&lt;&gt;0,AP$5&amp;", ","")&amp;IF(AQ499&lt;&gt;0,AQ$5&amp;", ","")&amp;IF(AR499&lt;&gt;0,AR$5,"")&amp;IF(AS499&lt;&gt;0,AS$5,"")&amp;IF(AT499&lt;&gt;0,AT$5,"")&amp;IF(AU499&lt;&gt;0,AU$5,"")</f>
        <v xml:space="preserve">DGD, </v>
      </c>
      <c r="L499" s="413" t="str">
        <f t="shared" ref="L499:L518" si="73">IF(M499="","",$M$5&amp;":"&amp;M499&amp;";")&amp;IF(N499="","",$N$5&amp;":"&amp;N499&amp;";")&amp;IF(O499="","",$O$5&amp;":"&amp;O499&amp;";")&amp;IF(P499="","",$P$5&amp;":"&amp;P499&amp;";")&amp;IF(Q499="","",$Q$5&amp;":"&amp;Q499&amp;";")&amp;IF(R499="","",$R$5&amp;":"&amp;R499&amp;";")&amp;IF(S499="","",$S$5&amp;":"&amp;S499&amp;";")&amp;IF(T499="","",$T$5&amp;":"&amp;T499&amp;";")&amp;IF(U499="","",$U$5&amp;":"&amp;U499&amp;";")&amp;IF(V499="","",$V$5&amp;":"&amp;V499&amp;";")&amp;IF(W499="","",$W$5&amp;":"&amp;W499&amp;";")&amp;IF(X499="","",$X$5&amp;":"&amp;X499&amp;";")&amp;IF(Y499="","",$Y$5&amp;":"&amp;Y499&amp;";")&amp;IF(Z499="","",$Z$5&amp;":"&amp;Z499&amp;";")&amp;IF(AA499="","",$AA$5&amp;":"&amp;AA499&amp;";")&amp;IF(AB499="","",$AB$5&amp;":"&amp;AB499&amp;";")&amp;IF(AC499="","",$AC$5&amp;":"&amp;AC499&amp;";")&amp;IF(AD499="","",$AD$5&amp;":"&amp;AD499&amp;";")&amp;IF(AE499="","",$AE$5&amp;":"&amp;AE499&amp;";")&amp;IF(AF499="","",$AF$5&amp;":"&amp;AF499&amp;";")&amp;IF(AG499="","",$AG$5&amp;":"&amp;AG499&amp;";")&amp;IF(AH499="","",$AH$5&amp;":"&amp;AH499&amp;";")&amp;IF(AI499="","",$AI$5&amp;":"&amp;AI499&amp;";")&amp;IF(AJ499="","",$AJ$5&amp;":"&amp;AJ499&amp;";")&amp;IF(AK499="","",$AK$5&amp;":"&amp;AK499&amp;";")&amp;IF(AL499="","",$AL$5&amp;":"&amp;AL499&amp;";")&amp;IF(AM499="","",$AM$5&amp;":"&amp;AM499&amp;";")&amp;IF(AN499="","",$AN$5&amp;":"&amp;AN499&amp;";")&amp;IF(AO499="","",$AO$5&amp;":"&amp;AO499&amp;";")&amp;IF(AP499="","",$AP$5&amp;":"&amp;AP499&amp;";")&amp;IF(AQ499="","",$AQ$5&amp;":"&amp;AQ499&amp;";")&amp;IF(AR499="","",$AR$5&amp;":"&amp;AR499&amp;";")&amp;IF(AS499="","",$AS$5&amp;":"&amp;AS499&amp;";")&amp;IF(AT499="","",$AT$5&amp;":"&amp;AT499&amp;";")&amp;IF(AU499="","",$AU$5&amp;":"&amp;AU499&amp;";")</f>
        <v>DGD:0,87;</v>
      </c>
      <c r="M499" s="339"/>
      <c r="N499" s="339"/>
      <c r="O499" s="339"/>
      <c r="P499" s="339"/>
      <c r="Q499" s="339"/>
      <c r="R499" s="339"/>
      <c r="S499" s="339"/>
      <c r="T499" s="339"/>
      <c r="U499" s="339"/>
      <c r="V499" s="339"/>
      <c r="W499" s="339"/>
      <c r="X499" s="339"/>
      <c r="Y499" s="339"/>
      <c r="Z499" s="339"/>
      <c r="AA499" s="339">
        <v>0.87</v>
      </c>
      <c r="AB499" s="339"/>
      <c r="AC499" s="339"/>
      <c r="AD499" s="339"/>
      <c r="AE499" s="339"/>
      <c r="AF499" s="339"/>
      <c r="AG499" s="339"/>
      <c r="AH499" s="339"/>
      <c r="AI499" s="339"/>
      <c r="AJ499" s="339"/>
      <c r="AK499" s="339"/>
      <c r="AL499" s="339"/>
      <c r="AM499" s="339"/>
      <c r="AN499" s="339"/>
      <c r="AO499" s="339"/>
      <c r="AP499" s="339"/>
      <c r="AQ499" s="339"/>
      <c r="AR499" s="339"/>
      <c r="AS499" s="339"/>
      <c r="AT499" s="339"/>
      <c r="AU499" s="339"/>
      <c r="AV499" s="338" t="s">
        <v>217</v>
      </c>
      <c r="AW499" s="338" t="s">
        <v>217</v>
      </c>
      <c r="AX499" s="351" t="s">
        <v>314</v>
      </c>
      <c r="AY499" s="260" t="s">
        <v>314</v>
      </c>
      <c r="AZ499" s="352" t="s">
        <v>1245</v>
      </c>
      <c r="BA499" s="350"/>
      <c r="BB499" s="350"/>
      <c r="BC499" s="195" t="s">
        <v>270</v>
      </c>
      <c r="BD499" s="195"/>
      <c r="BE499" s="195"/>
      <c r="BF499" s="195" t="s">
        <v>263</v>
      </c>
      <c r="BG499" s="195"/>
      <c r="BH499" s="350"/>
    </row>
    <row r="500" spans="1:62" ht="42" customHeight="1">
      <c r="A500" s="344">
        <f>SUBTOTAL(3,C$11:$C500)</f>
        <v>334</v>
      </c>
      <c r="B500" s="337" t="s">
        <v>501</v>
      </c>
      <c r="C500" s="338" t="s">
        <v>48</v>
      </c>
      <c r="D500" s="339">
        <v>0.11</v>
      </c>
      <c r="E500" s="339">
        <v>0.11</v>
      </c>
      <c r="F500" s="339"/>
      <c r="G500" s="414">
        <f t="shared" si="71"/>
        <v>0.11</v>
      </c>
      <c r="H500" s="413" t="s">
        <v>48</v>
      </c>
      <c r="I500" s="413" t="s">
        <v>48</v>
      </c>
      <c r="J500" s="413"/>
      <c r="K500" s="413" t="str">
        <f t="shared" si="72"/>
        <v xml:space="preserve">DGD, </v>
      </c>
      <c r="L500" s="413" t="str">
        <f t="shared" si="73"/>
        <v>DGD:0,11;</v>
      </c>
      <c r="M500" s="339"/>
      <c r="N500" s="339"/>
      <c r="O500" s="339"/>
      <c r="P500" s="339"/>
      <c r="Q500" s="339"/>
      <c r="R500" s="339"/>
      <c r="S500" s="339"/>
      <c r="T500" s="339"/>
      <c r="U500" s="339"/>
      <c r="V500" s="339"/>
      <c r="W500" s="339"/>
      <c r="X500" s="339"/>
      <c r="Y500" s="339"/>
      <c r="Z500" s="339"/>
      <c r="AA500" s="339">
        <v>0.11</v>
      </c>
      <c r="AB500" s="339"/>
      <c r="AC500" s="339"/>
      <c r="AD500" s="339"/>
      <c r="AE500" s="339"/>
      <c r="AF500" s="339"/>
      <c r="AG500" s="339"/>
      <c r="AH500" s="339"/>
      <c r="AI500" s="339"/>
      <c r="AJ500" s="339"/>
      <c r="AK500" s="339"/>
      <c r="AL500" s="339"/>
      <c r="AM500" s="339"/>
      <c r="AN500" s="339"/>
      <c r="AO500" s="339"/>
      <c r="AP500" s="339"/>
      <c r="AQ500" s="339"/>
      <c r="AR500" s="339"/>
      <c r="AS500" s="339"/>
      <c r="AT500" s="339"/>
      <c r="AU500" s="339"/>
      <c r="AV500" s="338" t="s">
        <v>502</v>
      </c>
      <c r="AW500" s="338" t="s">
        <v>502</v>
      </c>
      <c r="AX500" s="350" t="s">
        <v>1248</v>
      </c>
      <c r="AY500" s="356" t="s">
        <v>1248</v>
      </c>
      <c r="AZ500" s="352" t="s">
        <v>1249</v>
      </c>
      <c r="BA500" s="350"/>
      <c r="BB500" s="350"/>
      <c r="BC500" s="195" t="s">
        <v>270</v>
      </c>
      <c r="BD500" s="195"/>
      <c r="BE500" s="195"/>
      <c r="BF500" s="195" t="s">
        <v>263</v>
      </c>
      <c r="BG500" s="195"/>
      <c r="BH500" s="350"/>
    </row>
    <row r="501" spans="1:62" ht="42" customHeight="1">
      <c r="A501" s="344">
        <f>SUBTOTAL(3,C$11:$C501)</f>
        <v>335</v>
      </c>
      <c r="B501" s="337" t="s">
        <v>503</v>
      </c>
      <c r="C501" s="338" t="s">
        <v>48</v>
      </c>
      <c r="D501" s="361">
        <v>0.78</v>
      </c>
      <c r="E501" s="361">
        <v>0.78</v>
      </c>
      <c r="F501" s="192"/>
      <c r="G501" s="414">
        <f t="shared" si="71"/>
        <v>0.78</v>
      </c>
      <c r="H501" s="413" t="s">
        <v>48</v>
      </c>
      <c r="I501" s="413" t="s">
        <v>48</v>
      </c>
      <c r="J501" s="413"/>
      <c r="K501" s="413" t="str">
        <f t="shared" si="72"/>
        <v xml:space="preserve">DGD, </v>
      </c>
      <c r="L501" s="413" t="str">
        <f t="shared" si="73"/>
        <v>DGD:0,78;</v>
      </c>
      <c r="M501" s="192"/>
      <c r="N501" s="192"/>
      <c r="O501" s="192"/>
      <c r="P501" s="192"/>
      <c r="Q501" s="192"/>
      <c r="R501" s="192"/>
      <c r="S501" s="192"/>
      <c r="T501" s="192"/>
      <c r="U501" s="192"/>
      <c r="V501" s="192"/>
      <c r="W501" s="192"/>
      <c r="X501" s="192"/>
      <c r="Y501" s="192"/>
      <c r="Z501" s="192"/>
      <c r="AA501" s="192">
        <v>0.78</v>
      </c>
      <c r="AB501" s="192"/>
      <c r="AC501" s="192"/>
      <c r="AD501" s="192"/>
      <c r="AE501" s="192"/>
      <c r="AF501" s="192"/>
      <c r="AG501" s="192"/>
      <c r="AH501" s="192"/>
      <c r="AI501" s="192"/>
      <c r="AJ501" s="192"/>
      <c r="AK501" s="192"/>
      <c r="AL501" s="192"/>
      <c r="AM501" s="192"/>
      <c r="AN501" s="192"/>
      <c r="AO501" s="192"/>
      <c r="AP501" s="192"/>
      <c r="AQ501" s="192"/>
      <c r="AR501" s="192"/>
      <c r="AS501" s="192"/>
      <c r="AT501" s="192"/>
      <c r="AU501" s="192"/>
      <c r="AV501" s="338" t="s">
        <v>266</v>
      </c>
      <c r="AW501" s="338" t="s">
        <v>266</v>
      </c>
      <c r="AX501" s="350" t="s">
        <v>1250</v>
      </c>
      <c r="AY501" s="356" t="s">
        <v>1250</v>
      </c>
      <c r="AZ501" s="352" t="s">
        <v>1251</v>
      </c>
      <c r="BA501" s="350"/>
      <c r="BB501" s="350"/>
      <c r="BC501" s="195" t="s">
        <v>270</v>
      </c>
      <c r="BD501" s="195"/>
      <c r="BE501" s="195"/>
      <c r="BF501" s="195" t="s">
        <v>263</v>
      </c>
      <c r="BG501" s="195"/>
      <c r="BH501" s="350"/>
    </row>
    <row r="502" spans="1:62" ht="42" customHeight="1">
      <c r="A502" s="344">
        <f>SUBTOTAL(3,C$11:$C502)</f>
        <v>336</v>
      </c>
      <c r="B502" s="362" t="s">
        <v>504</v>
      </c>
      <c r="C502" s="338" t="s">
        <v>48</v>
      </c>
      <c r="D502" s="351">
        <v>0.25</v>
      </c>
      <c r="E502" s="351">
        <v>0.25</v>
      </c>
      <c r="F502" s="361"/>
      <c r="G502" s="414">
        <f t="shared" si="71"/>
        <v>0.25</v>
      </c>
      <c r="H502" s="413" t="s">
        <v>48</v>
      </c>
      <c r="I502" s="413" t="s">
        <v>48</v>
      </c>
      <c r="J502" s="413"/>
      <c r="K502" s="413" t="str">
        <f t="shared" si="72"/>
        <v xml:space="preserve">DGD, </v>
      </c>
      <c r="L502" s="413" t="str">
        <f t="shared" si="73"/>
        <v>DGD:0,25;</v>
      </c>
      <c r="M502" s="361"/>
      <c r="N502" s="361"/>
      <c r="O502" s="361"/>
      <c r="P502" s="361"/>
      <c r="Q502" s="361"/>
      <c r="R502" s="361"/>
      <c r="S502" s="361"/>
      <c r="T502" s="361"/>
      <c r="U502" s="361"/>
      <c r="V502" s="361"/>
      <c r="W502" s="361"/>
      <c r="X502" s="361"/>
      <c r="Y502" s="361"/>
      <c r="Z502" s="361"/>
      <c r="AA502" s="361">
        <v>0.25</v>
      </c>
      <c r="AB502" s="361"/>
      <c r="AC502" s="361"/>
      <c r="AD502" s="361"/>
      <c r="AE502" s="361"/>
      <c r="AF502" s="361"/>
      <c r="AG502" s="361"/>
      <c r="AH502" s="361"/>
      <c r="AI502" s="361"/>
      <c r="AJ502" s="361"/>
      <c r="AK502" s="361"/>
      <c r="AL502" s="361"/>
      <c r="AM502" s="361"/>
      <c r="AN502" s="361"/>
      <c r="AO502" s="361"/>
      <c r="AP502" s="361"/>
      <c r="AQ502" s="361"/>
      <c r="AR502" s="361"/>
      <c r="AS502" s="361"/>
      <c r="AT502" s="361"/>
      <c r="AU502" s="361"/>
      <c r="AV502" s="351" t="s">
        <v>303</v>
      </c>
      <c r="AW502" s="351" t="s">
        <v>303</v>
      </c>
      <c r="AX502" s="350" t="s">
        <v>505</v>
      </c>
      <c r="AY502" s="356" t="s">
        <v>505</v>
      </c>
      <c r="AZ502" s="352" t="s">
        <v>1252</v>
      </c>
      <c r="BA502" s="350"/>
      <c r="BB502" s="350"/>
      <c r="BC502" s="195" t="s">
        <v>316</v>
      </c>
      <c r="BD502" s="195"/>
      <c r="BE502" s="195"/>
      <c r="BF502" s="195" t="s">
        <v>263</v>
      </c>
      <c r="BG502" s="195"/>
      <c r="BH502" s="350"/>
    </row>
    <row r="503" spans="1:62" ht="42" customHeight="1">
      <c r="A503" s="344">
        <f>SUBTOTAL(3,C$11:$C503)</f>
        <v>337</v>
      </c>
      <c r="B503" s="362" t="s">
        <v>510</v>
      </c>
      <c r="C503" s="338" t="s">
        <v>48</v>
      </c>
      <c r="D503" s="351">
        <v>0.88</v>
      </c>
      <c r="E503" s="351">
        <v>0.88</v>
      </c>
      <c r="F503" s="361"/>
      <c r="G503" s="414">
        <f t="shared" si="71"/>
        <v>0.88</v>
      </c>
      <c r="H503" s="413" t="s">
        <v>48</v>
      </c>
      <c r="I503" s="413" t="s">
        <v>48</v>
      </c>
      <c r="J503" s="413"/>
      <c r="K503" s="413" t="str">
        <f t="shared" si="72"/>
        <v xml:space="preserve">DGD, </v>
      </c>
      <c r="L503" s="413" t="str">
        <f t="shared" si="73"/>
        <v>DGD:0,88;</v>
      </c>
      <c r="M503" s="361"/>
      <c r="N503" s="361"/>
      <c r="O503" s="361"/>
      <c r="P503" s="361"/>
      <c r="Q503" s="361"/>
      <c r="R503" s="361"/>
      <c r="S503" s="361"/>
      <c r="T503" s="361"/>
      <c r="U503" s="361"/>
      <c r="V503" s="361"/>
      <c r="W503" s="361"/>
      <c r="X503" s="361"/>
      <c r="Y503" s="361"/>
      <c r="Z503" s="361"/>
      <c r="AA503" s="361">
        <v>0.88</v>
      </c>
      <c r="AB503" s="361"/>
      <c r="AC503" s="361"/>
      <c r="AD503" s="361"/>
      <c r="AE503" s="361"/>
      <c r="AF503" s="361"/>
      <c r="AG503" s="361"/>
      <c r="AH503" s="361"/>
      <c r="AI503" s="361"/>
      <c r="AJ503" s="361"/>
      <c r="AK503" s="361"/>
      <c r="AL503" s="361"/>
      <c r="AM503" s="361"/>
      <c r="AN503" s="361"/>
      <c r="AO503" s="361"/>
      <c r="AP503" s="361"/>
      <c r="AQ503" s="361"/>
      <c r="AR503" s="361"/>
      <c r="AS503" s="361"/>
      <c r="AT503" s="361"/>
      <c r="AU503" s="361"/>
      <c r="AV503" s="338" t="s">
        <v>217</v>
      </c>
      <c r="AW503" s="338" t="s">
        <v>217</v>
      </c>
      <c r="AX503" s="350" t="s">
        <v>511</v>
      </c>
      <c r="AY503" s="356" t="s">
        <v>511</v>
      </c>
      <c r="AZ503" s="352" t="s">
        <v>1257</v>
      </c>
      <c r="BA503" s="350"/>
      <c r="BB503" s="350"/>
      <c r="BC503" s="195" t="s">
        <v>316</v>
      </c>
      <c r="BD503" s="195"/>
      <c r="BE503" s="195"/>
      <c r="BF503" s="195" t="s">
        <v>263</v>
      </c>
      <c r="BG503" s="195"/>
      <c r="BH503" s="350"/>
    </row>
    <row r="504" spans="1:62" ht="42" customHeight="1">
      <c r="A504" s="344">
        <f>SUBTOTAL(3,C$11:$C504)</f>
        <v>338</v>
      </c>
      <c r="B504" s="362" t="s">
        <v>512</v>
      </c>
      <c r="C504" s="338" t="s">
        <v>48</v>
      </c>
      <c r="D504" s="351">
        <v>0.26</v>
      </c>
      <c r="E504" s="351">
        <v>0.26</v>
      </c>
      <c r="F504" s="361"/>
      <c r="G504" s="414">
        <f t="shared" si="71"/>
        <v>0.26</v>
      </c>
      <c r="H504" s="413" t="s">
        <v>48</v>
      </c>
      <c r="I504" s="413" t="s">
        <v>48</v>
      </c>
      <c r="J504" s="413"/>
      <c r="K504" s="413" t="str">
        <f t="shared" si="72"/>
        <v xml:space="preserve">DGD, </v>
      </c>
      <c r="L504" s="413" t="str">
        <f t="shared" si="73"/>
        <v>DGD:0,26;</v>
      </c>
      <c r="M504" s="361"/>
      <c r="N504" s="361"/>
      <c r="O504" s="361"/>
      <c r="P504" s="361"/>
      <c r="Q504" s="361"/>
      <c r="R504" s="361"/>
      <c r="S504" s="361"/>
      <c r="T504" s="361"/>
      <c r="U504" s="361"/>
      <c r="V504" s="361"/>
      <c r="W504" s="361"/>
      <c r="X504" s="361"/>
      <c r="Y504" s="361"/>
      <c r="Z504" s="361"/>
      <c r="AA504" s="361">
        <v>0.26</v>
      </c>
      <c r="AB504" s="361"/>
      <c r="AC504" s="361"/>
      <c r="AD504" s="361"/>
      <c r="AE504" s="361"/>
      <c r="AF504" s="361"/>
      <c r="AG504" s="361"/>
      <c r="AH504" s="361"/>
      <c r="AI504" s="361"/>
      <c r="AJ504" s="361"/>
      <c r="AK504" s="361"/>
      <c r="AL504" s="361"/>
      <c r="AM504" s="361"/>
      <c r="AN504" s="361"/>
      <c r="AO504" s="361"/>
      <c r="AP504" s="361"/>
      <c r="AQ504" s="361"/>
      <c r="AR504" s="361"/>
      <c r="AS504" s="361"/>
      <c r="AT504" s="361"/>
      <c r="AU504" s="361"/>
      <c r="AV504" s="338" t="s">
        <v>217</v>
      </c>
      <c r="AW504" s="338" t="s">
        <v>217</v>
      </c>
      <c r="AX504" s="350" t="s">
        <v>513</v>
      </c>
      <c r="AY504" s="356" t="s">
        <v>513</v>
      </c>
      <c r="AZ504" s="352" t="s">
        <v>1258</v>
      </c>
      <c r="BA504" s="350"/>
      <c r="BB504" s="350"/>
      <c r="BC504" s="195" t="s">
        <v>316</v>
      </c>
      <c r="BD504" s="195"/>
      <c r="BE504" s="195"/>
      <c r="BF504" s="195" t="s">
        <v>263</v>
      </c>
      <c r="BG504" s="195"/>
      <c r="BH504" s="350"/>
    </row>
    <row r="505" spans="1:62" ht="42" customHeight="1">
      <c r="A505" s="344">
        <f>SUBTOTAL(3,C$11:$C505)</f>
        <v>339</v>
      </c>
      <c r="B505" s="362" t="s">
        <v>514</v>
      </c>
      <c r="C505" s="338" t="s">
        <v>48</v>
      </c>
      <c r="D505" s="351">
        <v>4</v>
      </c>
      <c r="E505" s="351">
        <v>4</v>
      </c>
      <c r="F505" s="361"/>
      <c r="G505" s="414">
        <f t="shared" si="71"/>
        <v>4</v>
      </c>
      <c r="H505" s="413" t="s">
        <v>48</v>
      </c>
      <c r="I505" s="413" t="s">
        <v>48</v>
      </c>
      <c r="J505" s="413"/>
      <c r="K505" s="413" t="str">
        <f t="shared" si="72"/>
        <v xml:space="preserve">DGD, </v>
      </c>
      <c r="L505" s="413" t="str">
        <f t="shared" si="73"/>
        <v>DGD:4;</v>
      </c>
      <c r="M505" s="361"/>
      <c r="N505" s="361"/>
      <c r="O505" s="361"/>
      <c r="P505" s="361"/>
      <c r="Q505" s="361"/>
      <c r="R505" s="361"/>
      <c r="S505" s="361"/>
      <c r="T505" s="361"/>
      <c r="U505" s="361"/>
      <c r="V505" s="361"/>
      <c r="W505" s="361"/>
      <c r="X505" s="361"/>
      <c r="Y505" s="361"/>
      <c r="Z505" s="361"/>
      <c r="AA505" s="361">
        <v>4</v>
      </c>
      <c r="AB505" s="361"/>
      <c r="AC505" s="361"/>
      <c r="AD505" s="361"/>
      <c r="AE505" s="361"/>
      <c r="AF505" s="361"/>
      <c r="AG505" s="361"/>
      <c r="AH505" s="361"/>
      <c r="AI505" s="361"/>
      <c r="AJ505" s="361"/>
      <c r="AK505" s="361"/>
      <c r="AL505" s="361"/>
      <c r="AM505" s="361"/>
      <c r="AN505" s="361"/>
      <c r="AO505" s="361"/>
      <c r="AP505" s="361"/>
      <c r="AQ505" s="361"/>
      <c r="AR505" s="361"/>
      <c r="AS505" s="361"/>
      <c r="AT505" s="361"/>
      <c r="AU505" s="361"/>
      <c r="AV505" s="338" t="s">
        <v>306</v>
      </c>
      <c r="AW505" s="338" t="s">
        <v>306</v>
      </c>
      <c r="AX505" s="350" t="s">
        <v>515</v>
      </c>
      <c r="AY505" s="356" t="s">
        <v>515</v>
      </c>
      <c r="AZ505" s="352" t="s">
        <v>1259</v>
      </c>
      <c r="BA505" s="350"/>
      <c r="BB505" s="350"/>
      <c r="BC505" s="195" t="s">
        <v>316</v>
      </c>
      <c r="BD505" s="195"/>
      <c r="BE505" s="195"/>
      <c r="BF505" s="195" t="s">
        <v>263</v>
      </c>
      <c r="BG505" s="195"/>
      <c r="BH505" s="350"/>
    </row>
    <row r="506" spans="1:62" ht="42.75" customHeight="1">
      <c r="A506" s="344">
        <f>SUBTOTAL(3,C$11:$C506)</f>
        <v>340</v>
      </c>
      <c r="B506" s="362" t="s">
        <v>518</v>
      </c>
      <c r="C506" s="338" t="s">
        <v>48</v>
      </c>
      <c r="D506" s="351">
        <v>0.81</v>
      </c>
      <c r="E506" s="351">
        <v>0.81</v>
      </c>
      <c r="F506" s="361"/>
      <c r="G506" s="414">
        <f t="shared" si="71"/>
        <v>0.81</v>
      </c>
      <c r="H506" s="413" t="s">
        <v>48</v>
      </c>
      <c r="I506" s="413" t="s">
        <v>48</v>
      </c>
      <c r="J506" s="413"/>
      <c r="K506" s="413" t="str">
        <f t="shared" si="72"/>
        <v xml:space="preserve">DGD, </v>
      </c>
      <c r="L506" s="413" t="str">
        <f t="shared" si="73"/>
        <v>DGD:0,81;</v>
      </c>
      <c r="M506" s="361"/>
      <c r="N506" s="361"/>
      <c r="O506" s="361"/>
      <c r="P506" s="361"/>
      <c r="Q506" s="361"/>
      <c r="R506" s="361"/>
      <c r="S506" s="361"/>
      <c r="T506" s="361"/>
      <c r="U506" s="361"/>
      <c r="V506" s="361"/>
      <c r="W506" s="361"/>
      <c r="X506" s="361"/>
      <c r="Y506" s="361"/>
      <c r="Z506" s="361"/>
      <c r="AA506" s="361">
        <v>0.81</v>
      </c>
      <c r="AB506" s="361"/>
      <c r="AC506" s="361"/>
      <c r="AD506" s="361"/>
      <c r="AE506" s="361"/>
      <c r="AF506" s="361"/>
      <c r="AG506" s="361"/>
      <c r="AH506" s="361"/>
      <c r="AI506" s="361"/>
      <c r="AJ506" s="361"/>
      <c r="AK506" s="361"/>
      <c r="AL506" s="361"/>
      <c r="AM506" s="361"/>
      <c r="AN506" s="361"/>
      <c r="AO506" s="361"/>
      <c r="AP506" s="361"/>
      <c r="AQ506" s="361"/>
      <c r="AR506" s="361"/>
      <c r="AS506" s="361"/>
      <c r="AT506" s="361"/>
      <c r="AU506" s="361"/>
      <c r="AV506" s="338" t="s">
        <v>306</v>
      </c>
      <c r="AW506" s="338" t="s">
        <v>306</v>
      </c>
      <c r="AX506" s="350" t="s">
        <v>519</v>
      </c>
      <c r="AY506" s="356" t="s">
        <v>519</v>
      </c>
      <c r="AZ506" s="352" t="s">
        <v>1261</v>
      </c>
      <c r="BA506" s="350"/>
      <c r="BB506" s="350"/>
      <c r="BC506" s="195" t="s">
        <v>316</v>
      </c>
      <c r="BD506" s="195"/>
      <c r="BE506" s="195"/>
      <c r="BF506" s="195"/>
      <c r="BG506" s="195" t="s">
        <v>263</v>
      </c>
      <c r="BH506" s="350"/>
    </row>
    <row r="507" spans="1:62" ht="42.75" customHeight="1">
      <c r="A507" s="344">
        <f>SUBTOTAL(3,C$11:$C507)</f>
        <v>341</v>
      </c>
      <c r="B507" s="337" t="s">
        <v>520</v>
      </c>
      <c r="C507" s="338" t="s">
        <v>48</v>
      </c>
      <c r="D507" s="351">
        <v>0.76</v>
      </c>
      <c r="E507" s="351">
        <v>0.76</v>
      </c>
      <c r="F507" s="361"/>
      <c r="G507" s="414">
        <f t="shared" si="71"/>
        <v>0.76</v>
      </c>
      <c r="H507" s="413" t="s">
        <v>48</v>
      </c>
      <c r="I507" s="413" t="s">
        <v>48</v>
      </c>
      <c r="J507" s="413"/>
      <c r="K507" s="413" t="str">
        <f t="shared" si="72"/>
        <v xml:space="preserve">DGD, </v>
      </c>
      <c r="L507" s="413" t="str">
        <f t="shared" si="73"/>
        <v>DGD:0,76;</v>
      </c>
      <c r="M507" s="361"/>
      <c r="N507" s="361"/>
      <c r="O507" s="361"/>
      <c r="P507" s="361"/>
      <c r="Q507" s="361"/>
      <c r="R507" s="361"/>
      <c r="S507" s="361"/>
      <c r="T507" s="361"/>
      <c r="U507" s="361"/>
      <c r="V507" s="361"/>
      <c r="W507" s="361"/>
      <c r="X507" s="361"/>
      <c r="Y507" s="361"/>
      <c r="Z507" s="361"/>
      <c r="AA507" s="361">
        <v>0.76</v>
      </c>
      <c r="AB507" s="361"/>
      <c r="AC507" s="361"/>
      <c r="AD507" s="361"/>
      <c r="AE507" s="361"/>
      <c r="AF507" s="361"/>
      <c r="AG507" s="361"/>
      <c r="AH507" s="361"/>
      <c r="AI507" s="361"/>
      <c r="AJ507" s="361"/>
      <c r="AK507" s="361"/>
      <c r="AL507" s="361"/>
      <c r="AM507" s="361"/>
      <c r="AN507" s="361"/>
      <c r="AO507" s="361"/>
      <c r="AP507" s="361"/>
      <c r="AQ507" s="361"/>
      <c r="AR507" s="361"/>
      <c r="AS507" s="361"/>
      <c r="AT507" s="361"/>
      <c r="AU507" s="361"/>
      <c r="AV507" s="338" t="s">
        <v>306</v>
      </c>
      <c r="AW507" s="338" t="s">
        <v>306</v>
      </c>
      <c r="AX507" s="350" t="s">
        <v>521</v>
      </c>
      <c r="AY507" s="356" t="s">
        <v>521</v>
      </c>
      <c r="AZ507" s="352" t="s">
        <v>1262</v>
      </c>
      <c r="BA507" s="350"/>
      <c r="BB507" s="350"/>
      <c r="BC507" s="195" t="s">
        <v>316</v>
      </c>
      <c r="BD507" s="195"/>
      <c r="BE507" s="195"/>
      <c r="BF507" s="195" t="s">
        <v>263</v>
      </c>
      <c r="BG507" s="195"/>
      <c r="BH507" s="350"/>
    </row>
    <row r="508" spans="1:62" ht="35.15" customHeight="1">
      <c r="A508" s="344">
        <f>SUBTOTAL(3,C$11:$C508)</f>
        <v>342</v>
      </c>
      <c r="B508" s="337" t="s">
        <v>1755</v>
      </c>
      <c r="C508" s="338" t="s">
        <v>48</v>
      </c>
      <c r="D508" s="351">
        <v>0.45</v>
      </c>
      <c r="E508" s="351">
        <v>0.45</v>
      </c>
      <c r="F508" s="361"/>
      <c r="G508" s="414">
        <f t="shared" si="71"/>
        <v>0.45</v>
      </c>
      <c r="H508" s="413" t="s">
        <v>48</v>
      </c>
      <c r="I508" s="413" t="s">
        <v>48</v>
      </c>
      <c r="J508" s="413"/>
      <c r="K508" s="413" t="str">
        <f t="shared" si="72"/>
        <v xml:space="preserve">DGD, </v>
      </c>
      <c r="L508" s="413" t="str">
        <f t="shared" si="73"/>
        <v>DGD:0,45;</v>
      </c>
      <c r="M508" s="361"/>
      <c r="N508" s="361"/>
      <c r="O508" s="361"/>
      <c r="P508" s="361"/>
      <c r="Q508" s="361"/>
      <c r="R508" s="361"/>
      <c r="S508" s="361"/>
      <c r="T508" s="361"/>
      <c r="U508" s="361"/>
      <c r="V508" s="361"/>
      <c r="W508" s="361"/>
      <c r="X508" s="361"/>
      <c r="Y508" s="361"/>
      <c r="Z508" s="361"/>
      <c r="AA508" s="361">
        <v>0.45</v>
      </c>
      <c r="AB508" s="361"/>
      <c r="AC508" s="361"/>
      <c r="AD508" s="361"/>
      <c r="AE508" s="361"/>
      <c r="AF508" s="361"/>
      <c r="AG508" s="361"/>
      <c r="AH508" s="361"/>
      <c r="AI508" s="361"/>
      <c r="AJ508" s="361"/>
      <c r="AK508" s="361"/>
      <c r="AL508" s="361"/>
      <c r="AM508" s="361"/>
      <c r="AN508" s="361"/>
      <c r="AO508" s="361"/>
      <c r="AP508" s="361"/>
      <c r="AQ508" s="361"/>
      <c r="AR508" s="361"/>
      <c r="AS508" s="361"/>
      <c r="AT508" s="361"/>
      <c r="AU508" s="361"/>
      <c r="AV508" s="338" t="s">
        <v>306</v>
      </c>
      <c r="AW508" s="338" t="s">
        <v>306</v>
      </c>
      <c r="AX508" s="350" t="s">
        <v>522</v>
      </c>
      <c r="AY508" s="356" t="s">
        <v>522</v>
      </c>
      <c r="AZ508" s="352" t="s">
        <v>1263</v>
      </c>
      <c r="BA508" s="350"/>
      <c r="BB508" s="350"/>
      <c r="BC508" s="195" t="s">
        <v>316</v>
      </c>
      <c r="BD508" s="195"/>
      <c r="BE508" s="195"/>
      <c r="BF508" s="195"/>
      <c r="BG508" s="195" t="s">
        <v>263</v>
      </c>
      <c r="BH508" s="350"/>
    </row>
    <row r="509" spans="1:62" ht="47.25" customHeight="1">
      <c r="A509" s="344">
        <f>SUBTOTAL(3,C$11:$C509)</f>
        <v>343</v>
      </c>
      <c r="B509" s="337" t="s">
        <v>531</v>
      </c>
      <c r="C509" s="338" t="s">
        <v>48</v>
      </c>
      <c r="D509" s="351">
        <v>0.08</v>
      </c>
      <c r="E509" s="351">
        <v>0.08</v>
      </c>
      <c r="F509" s="361"/>
      <c r="G509" s="414">
        <f t="shared" si="71"/>
        <v>0.08</v>
      </c>
      <c r="H509" s="413" t="s">
        <v>48</v>
      </c>
      <c r="I509" s="413" t="s">
        <v>48</v>
      </c>
      <c r="J509" s="413"/>
      <c r="K509" s="413" t="str">
        <f t="shared" si="72"/>
        <v xml:space="preserve">DGD, </v>
      </c>
      <c r="L509" s="413" t="str">
        <f t="shared" si="73"/>
        <v>DGD:0,08;</v>
      </c>
      <c r="M509" s="361"/>
      <c r="N509" s="361"/>
      <c r="O509" s="361"/>
      <c r="P509" s="361"/>
      <c r="Q509" s="361"/>
      <c r="R509" s="361"/>
      <c r="S509" s="361"/>
      <c r="T509" s="361"/>
      <c r="U509" s="361"/>
      <c r="V509" s="361"/>
      <c r="W509" s="361"/>
      <c r="X509" s="361"/>
      <c r="Y509" s="361"/>
      <c r="Z509" s="361"/>
      <c r="AA509" s="361">
        <v>0.08</v>
      </c>
      <c r="AB509" s="361"/>
      <c r="AC509" s="361"/>
      <c r="AD509" s="361"/>
      <c r="AE509" s="361"/>
      <c r="AF509" s="361"/>
      <c r="AG509" s="361"/>
      <c r="AH509" s="361"/>
      <c r="AI509" s="361"/>
      <c r="AJ509" s="361"/>
      <c r="AK509" s="361"/>
      <c r="AL509" s="361"/>
      <c r="AM509" s="361"/>
      <c r="AN509" s="361"/>
      <c r="AO509" s="361"/>
      <c r="AP509" s="361"/>
      <c r="AQ509" s="361"/>
      <c r="AR509" s="361"/>
      <c r="AS509" s="361"/>
      <c r="AT509" s="361"/>
      <c r="AU509" s="361"/>
      <c r="AV509" s="338" t="s">
        <v>283</v>
      </c>
      <c r="AW509" s="338" t="s">
        <v>283</v>
      </c>
      <c r="AX509" s="350" t="s">
        <v>532</v>
      </c>
      <c r="AY509" s="356" t="s">
        <v>532</v>
      </c>
      <c r="AZ509" s="352" t="s">
        <v>1267</v>
      </c>
      <c r="BA509" s="350"/>
      <c r="BB509" s="350"/>
      <c r="BC509" s="195" t="s">
        <v>267</v>
      </c>
      <c r="BD509" s="195"/>
      <c r="BE509" s="195"/>
      <c r="BF509" s="195" t="s">
        <v>263</v>
      </c>
      <c r="BG509" s="195"/>
      <c r="BH509" s="350"/>
    </row>
    <row r="510" spans="1:62" ht="42" customHeight="1">
      <c r="A510" s="344">
        <f>SUBTOTAL(3,C$11:$C510)</f>
        <v>344</v>
      </c>
      <c r="B510" s="362" t="s">
        <v>535</v>
      </c>
      <c r="C510" s="338" t="s">
        <v>48</v>
      </c>
      <c r="D510" s="361">
        <v>0.08</v>
      </c>
      <c r="E510" s="361">
        <v>0.08</v>
      </c>
      <c r="F510" s="361"/>
      <c r="G510" s="414">
        <f t="shared" si="71"/>
        <v>0.08</v>
      </c>
      <c r="H510" s="413" t="s">
        <v>48</v>
      </c>
      <c r="I510" s="413" t="s">
        <v>48</v>
      </c>
      <c r="J510" s="413"/>
      <c r="K510" s="413" t="str">
        <f t="shared" si="72"/>
        <v xml:space="preserve">DGD, </v>
      </c>
      <c r="L510" s="413" t="str">
        <f t="shared" si="73"/>
        <v>DGD:0,08;</v>
      </c>
      <c r="M510" s="361"/>
      <c r="N510" s="361"/>
      <c r="O510" s="361"/>
      <c r="P510" s="361"/>
      <c r="Q510" s="361"/>
      <c r="R510" s="361"/>
      <c r="S510" s="361"/>
      <c r="T510" s="361"/>
      <c r="U510" s="361"/>
      <c r="V510" s="361"/>
      <c r="W510" s="361"/>
      <c r="X510" s="361"/>
      <c r="Y510" s="361"/>
      <c r="Z510" s="361"/>
      <c r="AA510" s="361">
        <v>0.08</v>
      </c>
      <c r="AB510" s="361"/>
      <c r="AC510" s="361"/>
      <c r="AD510" s="361"/>
      <c r="AE510" s="361"/>
      <c r="AF510" s="361"/>
      <c r="AG510" s="361"/>
      <c r="AH510" s="361"/>
      <c r="AI510" s="361"/>
      <c r="AJ510" s="361"/>
      <c r="AK510" s="361"/>
      <c r="AL510" s="361"/>
      <c r="AM510" s="361"/>
      <c r="AN510" s="361"/>
      <c r="AO510" s="361"/>
      <c r="AP510" s="361"/>
      <c r="AQ510" s="361"/>
      <c r="AR510" s="361"/>
      <c r="AS510" s="361"/>
      <c r="AT510" s="361"/>
      <c r="AU510" s="361"/>
      <c r="AV510" s="338" t="s">
        <v>286</v>
      </c>
      <c r="AW510" s="338" t="s">
        <v>286</v>
      </c>
      <c r="AX510" s="350" t="s">
        <v>536</v>
      </c>
      <c r="AY510" s="356" t="s">
        <v>536</v>
      </c>
      <c r="AZ510" s="352" t="s">
        <v>1269</v>
      </c>
      <c r="BA510" s="350"/>
      <c r="BB510" s="350"/>
      <c r="BC510" s="195" t="s">
        <v>316</v>
      </c>
      <c r="BD510" s="195"/>
      <c r="BE510" s="195"/>
      <c r="BF510" s="195" t="s">
        <v>263</v>
      </c>
      <c r="BG510" s="195"/>
      <c r="BH510" s="350"/>
    </row>
    <row r="511" spans="1:62" ht="64" customHeight="1">
      <c r="A511" s="344">
        <f>SUBTOTAL(3,C$11:$C511)</f>
        <v>345</v>
      </c>
      <c r="B511" s="337" t="s">
        <v>537</v>
      </c>
      <c r="C511" s="338" t="s">
        <v>48</v>
      </c>
      <c r="D511" s="361">
        <v>0.25</v>
      </c>
      <c r="E511" s="339">
        <v>0.25</v>
      </c>
      <c r="F511" s="361"/>
      <c r="G511" s="414">
        <f t="shared" si="71"/>
        <v>0.25</v>
      </c>
      <c r="H511" s="413" t="s">
        <v>48</v>
      </c>
      <c r="I511" s="413" t="s">
        <v>48</v>
      </c>
      <c r="J511" s="413"/>
      <c r="K511" s="413" t="str">
        <f t="shared" si="72"/>
        <v xml:space="preserve">DGD, </v>
      </c>
      <c r="L511" s="413" t="str">
        <f t="shared" si="73"/>
        <v>DGD:0,25;</v>
      </c>
      <c r="M511" s="361"/>
      <c r="N511" s="361"/>
      <c r="O511" s="361"/>
      <c r="P511" s="361"/>
      <c r="Q511" s="361"/>
      <c r="R511" s="361"/>
      <c r="S511" s="361"/>
      <c r="T511" s="361"/>
      <c r="U511" s="361"/>
      <c r="V511" s="361"/>
      <c r="W511" s="361"/>
      <c r="X511" s="361"/>
      <c r="Y511" s="361"/>
      <c r="Z511" s="361"/>
      <c r="AA511" s="361">
        <v>0.25</v>
      </c>
      <c r="AB511" s="361"/>
      <c r="AC511" s="361"/>
      <c r="AD511" s="361"/>
      <c r="AE511" s="361"/>
      <c r="AF511" s="361"/>
      <c r="AG511" s="361"/>
      <c r="AH511" s="361"/>
      <c r="AI511" s="361"/>
      <c r="AJ511" s="361"/>
      <c r="AK511" s="361"/>
      <c r="AL511" s="361"/>
      <c r="AM511" s="361"/>
      <c r="AN511" s="361"/>
      <c r="AO511" s="361"/>
      <c r="AP511" s="361"/>
      <c r="AQ511" s="361"/>
      <c r="AR511" s="361"/>
      <c r="AS511" s="361"/>
      <c r="AT511" s="361"/>
      <c r="AU511" s="361"/>
      <c r="AV511" s="338" t="s">
        <v>286</v>
      </c>
      <c r="AW511" s="338" t="s">
        <v>286</v>
      </c>
      <c r="AX511" s="350" t="s">
        <v>538</v>
      </c>
      <c r="AY511" s="356" t="s">
        <v>538</v>
      </c>
      <c r="AZ511" s="352" t="s">
        <v>1270</v>
      </c>
      <c r="BA511" s="350"/>
      <c r="BB511" s="350" t="s">
        <v>539</v>
      </c>
      <c r="BC511" s="195" t="s">
        <v>316</v>
      </c>
      <c r="BD511" s="195"/>
      <c r="BE511" s="195"/>
      <c r="BF511" s="195" t="s">
        <v>263</v>
      </c>
      <c r="BG511" s="195"/>
      <c r="BH511" s="350"/>
    </row>
    <row r="512" spans="1:62" ht="64" customHeight="1">
      <c r="A512" s="344">
        <f>SUBTOTAL(3,C$11:$C512)</f>
        <v>346</v>
      </c>
      <c r="B512" s="337" t="s">
        <v>540</v>
      </c>
      <c r="C512" s="338" t="s">
        <v>48</v>
      </c>
      <c r="D512" s="361">
        <v>0.52</v>
      </c>
      <c r="E512" s="339">
        <v>0.52</v>
      </c>
      <c r="F512" s="361"/>
      <c r="G512" s="414">
        <f t="shared" si="71"/>
        <v>0.52</v>
      </c>
      <c r="H512" s="413" t="s">
        <v>48</v>
      </c>
      <c r="I512" s="413" t="s">
        <v>48</v>
      </c>
      <c r="J512" s="413"/>
      <c r="K512" s="413" t="str">
        <f t="shared" si="72"/>
        <v xml:space="preserve">DGD, </v>
      </c>
      <c r="L512" s="413" t="str">
        <f t="shared" si="73"/>
        <v>DGD:0,52;</v>
      </c>
      <c r="M512" s="361"/>
      <c r="N512" s="361"/>
      <c r="O512" s="361"/>
      <c r="P512" s="361"/>
      <c r="Q512" s="361"/>
      <c r="R512" s="361"/>
      <c r="S512" s="361"/>
      <c r="T512" s="361"/>
      <c r="U512" s="361"/>
      <c r="V512" s="361"/>
      <c r="W512" s="361"/>
      <c r="X512" s="361"/>
      <c r="Y512" s="361"/>
      <c r="Z512" s="361"/>
      <c r="AA512" s="361">
        <v>0.52</v>
      </c>
      <c r="AB512" s="361"/>
      <c r="AC512" s="361"/>
      <c r="AD512" s="361"/>
      <c r="AE512" s="361"/>
      <c r="AF512" s="361"/>
      <c r="AG512" s="361"/>
      <c r="AH512" s="361"/>
      <c r="AI512" s="361"/>
      <c r="AJ512" s="361"/>
      <c r="AK512" s="361"/>
      <c r="AL512" s="361"/>
      <c r="AM512" s="361"/>
      <c r="AN512" s="361"/>
      <c r="AO512" s="361"/>
      <c r="AP512" s="361"/>
      <c r="AQ512" s="361"/>
      <c r="AR512" s="361"/>
      <c r="AS512" s="361"/>
      <c r="AT512" s="361"/>
      <c r="AU512" s="361"/>
      <c r="AV512" s="338" t="s">
        <v>286</v>
      </c>
      <c r="AW512" s="338" t="s">
        <v>286</v>
      </c>
      <c r="AX512" s="350" t="s">
        <v>541</v>
      </c>
      <c r="AY512" s="356" t="s">
        <v>541</v>
      </c>
      <c r="AZ512" s="352" t="s">
        <v>1271</v>
      </c>
      <c r="BA512" s="350"/>
      <c r="BB512" s="350" t="s">
        <v>539</v>
      </c>
      <c r="BC512" s="195" t="s">
        <v>267</v>
      </c>
      <c r="BD512" s="195"/>
      <c r="BE512" s="195"/>
      <c r="BF512" s="195" t="s">
        <v>263</v>
      </c>
      <c r="BG512" s="195"/>
      <c r="BH512" s="350"/>
    </row>
    <row r="513" spans="1:62" ht="64" customHeight="1">
      <c r="A513" s="344">
        <f>SUBTOTAL(3,C$11:$C513)</f>
        <v>347</v>
      </c>
      <c r="B513" s="337" t="s">
        <v>544</v>
      </c>
      <c r="C513" s="338" t="s">
        <v>48</v>
      </c>
      <c r="D513" s="351">
        <v>0.39</v>
      </c>
      <c r="E513" s="351">
        <v>0.39</v>
      </c>
      <c r="F513" s="361"/>
      <c r="G513" s="414">
        <f t="shared" si="71"/>
        <v>0.39</v>
      </c>
      <c r="H513" s="413" t="s">
        <v>48</v>
      </c>
      <c r="I513" s="413" t="s">
        <v>48</v>
      </c>
      <c r="J513" s="413"/>
      <c r="K513" s="413" t="str">
        <f t="shared" si="72"/>
        <v xml:space="preserve">DGD, </v>
      </c>
      <c r="L513" s="413" t="str">
        <f t="shared" si="73"/>
        <v>DGD:0,39;</v>
      </c>
      <c r="M513" s="361"/>
      <c r="N513" s="361"/>
      <c r="O513" s="361"/>
      <c r="P513" s="361"/>
      <c r="Q513" s="361"/>
      <c r="R513" s="361"/>
      <c r="S513" s="361"/>
      <c r="T513" s="361"/>
      <c r="U513" s="361"/>
      <c r="V513" s="361"/>
      <c r="W513" s="361"/>
      <c r="X513" s="361"/>
      <c r="Y513" s="361"/>
      <c r="Z513" s="361"/>
      <c r="AA513" s="361">
        <v>0.39</v>
      </c>
      <c r="AB513" s="361"/>
      <c r="AC513" s="361"/>
      <c r="AD513" s="361"/>
      <c r="AE513" s="361"/>
      <c r="AF513" s="361"/>
      <c r="AG513" s="361"/>
      <c r="AH513" s="361"/>
      <c r="AI513" s="361"/>
      <c r="AJ513" s="361"/>
      <c r="AK513" s="361"/>
      <c r="AL513" s="361"/>
      <c r="AM513" s="361"/>
      <c r="AN513" s="361"/>
      <c r="AO513" s="361"/>
      <c r="AP513" s="361"/>
      <c r="AQ513" s="361"/>
      <c r="AR513" s="361"/>
      <c r="AS513" s="361"/>
      <c r="AT513" s="361"/>
      <c r="AU513" s="361"/>
      <c r="AV513" s="338" t="s">
        <v>286</v>
      </c>
      <c r="AW513" s="338" t="s">
        <v>286</v>
      </c>
      <c r="AX513" s="350" t="s">
        <v>545</v>
      </c>
      <c r="AY513" s="356" t="s">
        <v>545</v>
      </c>
      <c r="AZ513" s="352" t="s">
        <v>1275</v>
      </c>
      <c r="BA513" s="350"/>
      <c r="BB513" s="350" t="s">
        <v>539</v>
      </c>
      <c r="BC513" s="195" t="s">
        <v>316</v>
      </c>
      <c r="BD513" s="195"/>
      <c r="BE513" s="195"/>
      <c r="BF513" s="195" t="s">
        <v>263</v>
      </c>
      <c r="BG513" s="195"/>
      <c r="BH513" s="350"/>
    </row>
    <row r="514" spans="1:62" ht="42" customHeight="1">
      <c r="A514" s="344">
        <f>SUBTOTAL(3,C$11:$C514)</f>
        <v>348</v>
      </c>
      <c r="B514" s="362" t="s">
        <v>548</v>
      </c>
      <c r="C514" s="338" t="s">
        <v>48</v>
      </c>
      <c r="D514" s="351">
        <v>1.22</v>
      </c>
      <c r="E514" s="351">
        <v>1.22</v>
      </c>
      <c r="F514" s="361"/>
      <c r="G514" s="414">
        <f t="shared" si="71"/>
        <v>1.22</v>
      </c>
      <c r="H514" s="413" t="s">
        <v>48</v>
      </c>
      <c r="I514" s="413" t="s">
        <v>48</v>
      </c>
      <c r="J514" s="413"/>
      <c r="K514" s="413" t="str">
        <f t="shared" si="72"/>
        <v xml:space="preserve">DGD, </v>
      </c>
      <c r="L514" s="413" t="str">
        <f t="shared" si="73"/>
        <v>DGD:1,22;</v>
      </c>
      <c r="M514" s="361"/>
      <c r="N514" s="361"/>
      <c r="O514" s="361"/>
      <c r="P514" s="361"/>
      <c r="Q514" s="361"/>
      <c r="R514" s="361"/>
      <c r="S514" s="361"/>
      <c r="T514" s="361"/>
      <c r="U514" s="361"/>
      <c r="V514" s="361"/>
      <c r="W514" s="361"/>
      <c r="X514" s="361"/>
      <c r="Y514" s="361"/>
      <c r="Z514" s="361"/>
      <c r="AA514" s="361">
        <v>1.22</v>
      </c>
      <c r="AB514" s="361"/>
      <c r="AC514" s="361"/>
      <c r="AD514" s="361"/>
      <c r="AE514" s="361"/>
      <c r="AF514" s="361"/>
      <c r="AG514" s="361"/>
      <c r="AH514" s="361"/>
      <c r="AI514" s="361"/>
      <c r="AJ514" s="361"/>
      <c r="AK514" s="361"/>
      <c r="AL514" s="361"/>
      <c r="AM514" s="361"/>
      <c r="AN514" s="361"/>
      <c r="AO514" s="361"/>
      <c r="AP514" s="361"/>
      <c r="AQ514" s="361"/>
      <c r="AR514" s="361"/>
      <c r="AS514" s="361"/>
      <c r="AT514" s="361"/>
      <c r="AU514" s="361"/>
      <c r="AV514" s="338" t="s">
        <v>295</v>
      </c>
      <c r="AW514" s="338" t="s">
        <v>295</v>
      </c>
      <c r="AX514" s="350" t="s">
        <v>549</v>
      </c>
      <c r="AY514" s="356" t="s">
        <v>549</v>
      </c>
      <c r="AZ514" s="352" t="s">
        <v>1277</v>
      </c>
      <c r="BA514" s="350"/>
      <c r="BB514" s="350"/>
      <c r="BC514" s="195" t="s">
        <v>316</v>
      </c>
      <c r="BD514" s="195"/>
      <c r="BE514" s="195"/>
      <c r="BF514" s="195" t="s">
        <v>263</v>
      </c>
      <c r="BG514" s="195"/>
      <c r="BH514" s="350"/>
    </row>
    <row r="515" spans="1:62" ht="35.25" customHeight="1">
      <c r="A515" s="344">
        <f>SUBTOTAL(3,C$11:$C515)</f>
        <v>349</v>
      </c>
      <c r="B515" s="362" t="s">
        <v>552</v>
      </c>
      <c r="C515" s="338" t="s">
        <v>48</v>
      </c>
      <c r="D515" s="339">
        <v>0.17</v>
      </c>
      <c r="E515" s="339">
        <v>0.17</v>
      </c>
      <c r="F515" s="339"/>
      <c r="G515" s="414">
        <f t="shared" si="71"/>
        <v>0.17</v>
      </c>
      <c r="H515" s="413" t="s">
        <v>48</v>
      </c>
      <c r="I515" s="413" t="s">
        <v>48</v>
      </c>
      <c r="J515" s="413"/>
      <c r="K515" s="413" t="str">
        <f t="shared" si="72"/>
        <v xml:space="preserve">DGD, </v>
      </c>
      <c r="L515" s="413" t="str">
        <f t="shared" si="73"/>
        <v>DGD:0,17;</v>
      </c>
      <c r="M515" s="339"/>
      <c r="N515" s="339"/>
      <c r="O515" s="339"/>
      <c r="P515" s="339"/>
      <c r="Q515" s="339"/>
      <c r="R515" s="339"/>
      <c r="S515" s="339"/>
      <c r="T515" s="339"/>
      <c r="U515" s="339"/>
      <c r="V515" s="339"/>
      <c r="W515" s="339"/>
      <c r="X515" s="339"/>
      <c r="Y515" s="339"/>
      <c r="Z515" s="339"/>
      <c r="AA515" s="339">
        <v>0.17</v>
      </c>
      <c r="AB515" s="339"/>
      <c r="AC515" s="339"/>
      <c r="AD515" s="339"/>
      <c r="AE515" s="339"/>
      <c r="AF515" s="339"/>
      <c r="AG515" s="339"/>
      <c r="AH515" s="339"/>
      <c r="AI515" s="339"/>
      <c r="AJ515" s="339"/>
      <c r="AK515" s="339"/>
      <c r="AL515" s="339"/>
      <c r="AM515" s="339"/>
      <c r="AN515" s="339"/>
      <c r="AO515" s="339"/>
      <c r="AP515" s="339"/>
      <c r="AQ515" s="339"/>
      <c r="AR515" s="339"/>
      <c r="AS515" s="339"/>
      <c r="AT515" s="339"/>
      <c r="AU515" s="339"/>
      <c r="AV515" s="338" t="s">
        <v>370</v>
      </c>
      <c r="AW515" s="338" t="s">
        <v>370</v>
      </c>
      <c r="AX515" s="350" t="s">
        <v>553</v>
      </c>
      <c r="AY515" s="356" t="s">
        <v>553</v>
      </c>
      <c r="AZ515" s="352" t="s">
        <v>1279</v>
      </c>
      <c r="BA515" s="350" t="s">
        <v>554</v>
      </c>
      <c r="BB515" s="350"/>
      <c r="BC515" s="195" t="s">
        <v>316</v>
      </c>
      <c r="BD515" s="195"/>
      <c r="BE515" s="195"/>
      <c r="BF515" s="195"/>
      <c r="BG515" s="195" t="s">
        <v>263</v>
      </c>
      <c r="BH515" s="350"/>
    </row>
    <row r="516" spans="1:62" ht="42" customHeight="1">
      <c r="A516" s="344">
        <f>SUBTOTAL(3,C$11:$C516)</f>
        <v>350</v>
      </c>
      <c r="B516" s="362" t="s">
        <v>555</v>
      </c>
      <c r="C516" s="338" t="s">
        <v>48</v>
      </c>
      <c r="D516" s="351">
        <v>0.56999999999999995</v>
      </c>
      <c r="E516" s="351">
        <v>0.56999999999999995</v>
      </c>
      <c r="F516" s="361"/>
      <c r="G516" s="414">
        <f t="shared" si="71"/>
        <v>0.56999999999999995</v>
      </c>
      <c r="H516" s="413" t="s">
        <v>48</v>
      </c>
      <c r="I516" s="413" t="s">
        <v>48</v>
      </c>
      <c r="J516" s="413"/>
      <c r="K516" s="413" t="str">
        <f t="shared" si="72"/>
        <v xml:space="preserve">DGD, </v>
      </c>
      <c r="L516" s="413" t="str">
        <f t="shared" si="73"/>
        <v>DGD:0,57;</v>
      </c>
      <c r="M516" s="361"/>
      <c r="N516" s="361"/>
      <c r="O516" s="361"/>
      <c r="P516" s="361"/>
      <c r="Q516" s="361"/>
      <c r="R516" s="361"/>
      <c r="S516" s="361"/>
      <c r="T516" s="361"/>
      <c r="U516" s="361"/>
      <c r="V516" s="361"/>
      <c r="W516" s="361"/>
      <c r="X516" s="361"/>
      <c r="Y516" s="361"/>
      <c r="Z516" s="361"/>
      <c r="AA516" s="361">
        <v>0.56999999999999995</v>
      </c>
      <c r="AB516" s="361"/>
      <c r="AC516" s="361"/>
      <c r="AD516" s="361"/>
      <c r="AE516" s="361"/>
      <c r="AF516" s="361"/>
      <c r="AG516" s="361"/>
      <c r="AH516" s="361"/>
      <c r="AI516" s="361"/>
      <c r="AJ516" s="361"/>
      <c r="AK516" s="361"/>
      <c r="AL516" s="361"/>
      <c r="AM516" s="361"/>
      <c r="AN516" s="361"/>
      <c r="AO516" s="361"/>
      <c r="AP516" s="361"/>
      <c r="AQ516" s="361"/>
      <c r="AR516" s="361"/>
      <c r="AS516" s="361"/>
      <c r="AT516" s="361"/>
      <c r="AU516" s="361"/>
      <c r="AV516" s="338" t="s">
        <v>277</v>
      </c>
      <c r="AW516" s="338" t="s">
        <v>277</v>
      </c>
      <c r="AX516" s="350" t="s">
        <v>556</v>
      </c>
      <c r="AY516" s="356" t="s">
        <v>556</v>
      </c>
      <c r="AZ516" s="352" t="s">
        <v>1280</v>
      </c>
      <c r="BA516" s="350"/>
      <c r="BB516" s="350"/>
      <c r="BC516" s="195" t="s">
        <v>316</v>
      </c>
      <c r="BD516" s="195"/>
      <c r="BE516" s="195"/>
      <c r="BF516" s="195"/>
      <c r="BG516" s="195" t="s">
        <v>263</v>
      </c>
      <c r="BH516" s="350"/>
    </row>
    <row r="517" spans="1:62" ht="46.5" customHeight="1">
      <c r="A517" s="344">
        <f>SUBTOTAL(3,C$11:$C517)</f>
        <v>351</v>
      </c>
      <c r="B517" s="337" t="s">
        <v>557</v>
      </c>
      <c r="C517" s="338" t="s">
        <v>48</v>
      </c>
      <c r="D517" s="351">
        <v>0.1</v>
      </c>
      <c r="E517" s="351">
        <v>0.1</v>
      </c>
      <c r="F517" s="361"/>
      <c r="G517" s="414">
        <f t="shared" si="71"/>
        <v>0.1</v>
      </c>
      <c r="H517" s="413" t="s">
        <v>48</v>
      </c>
      <c r="I517" s="413" t="s">
        <v>48</v>
      </c>
      <c r="J517" s="413"/>
      <c r="K517" s="413" t="str">
        <f t="shared" si="72"/>
        <v xml:space="preserve">DGD, </v>
      </c>
      <c r="L517" s="413" t="str">
        <f t="shared" si="73"/>
        <v>DGD:0,1;</v>
      </c>
      <c r="M517" s="361"/>
      <c r="N517" s="361"/>
      <c r="O517" s="361"/>
      <c r="P517" s="361"/>
      <c r="Q517" s="361"/>
      <c r="R517" s="361"/>
      <c r="S517" s="361"/>
      <c r="T517" s="361"/>
      <c r="U517" s="361"/>
      <c r="V517" s="361"/>
      <c r="W517" s="361"/>
      <c r="X517" s="361"/>
      <c r="Y517" s="361"/>
      <c r="Z517" s="361"/>
      <c r="AA517" s="361">
        <v>0.1</v>
      </c>
      <c r="AB517" s="361"/>
      <c r="AC517" s="361"/>
      <c r="AD517" s="361"/>
      <c r="AE517" s="361"/>
      <c r="AF517" s="361"/>
      <c r="AG517" s="361"/>
      <c r="AH517" s="361"/>
      <c r="AI517" s="361"/>
      <c r="AJ517" s="361"/>
      <c r="AK517" s="361"/>
      <c r="AL517" s="361"/>
      <c r="AM517" s="361"/>
      <c r="AN517" s="361"/>
      <c r="AO517" s="361"/>
      <c r="AP517" s="361"/>
      <c r="AQ517" s="361"/>
      <c r="AR517" s="361"/>
      <c r="AS517" s="361"/>
      <c r="AT517" s="361"/>
      <c r="AU517" s="361"/>
      <c r="AV517" s="338" t="s">
        <v>266</v>
      </c>
      <c r="AW517" s="338" t="s">
        <v>266</v>
      </c>
      <c r="AX517" s="350" t="s">
        <v>558</v>
      </c>
      <c r="AY517" s="356" t="s">
        <v>558</v>
      </c>
      <c r="AZ517" s="352" t="s">
        <v>1281</v>
      </c>
      <c r="BA517" s="350"/>
      <c r="BB517" s="350"/>
      <c r="BC517" s="195" t="s">
        <v>316</v>
      </c>
      <c r="BD517" s="195"/>
      <c r="BE517" s="195"/>
      <c r="BF517" s="195" t="s">
        <v>263</v>
      </c>
      <c r="BG517" s="195"/>
      <c r="BH517" s="350"/>
    </row>
    <row r="518" spans="1:62" ht="42" customHeight="1">
      <c r="A518" s="344">
        <f>SUBTOTAL(3,C$11:$C518)</f>
        <v>352</v>
      </c>
      <c r="B518" s="337" t="s">
        <v>559</v>
      </c>
      <c r="C518" s="338" t="s">
        <v>48</v>
      </c>
      <c r="D518" s="351">
        <v>0.41</v>
      </c>
      <c r="E518" s="351">
        <v>0.41</v>
      </c>
      <c r="F518" s="361"/>
      <c r="G518" s="414">
        <f t="shared" si="71"/>
        <v>0.41</v>
      </c>
      <c r="H518" s="413" t="s">
        <v>48</v>
      </c>
      <c r="I518" s="413" t="s">
        <v>48</v>
      </c>
      <c r="J518" s="413"/>
      <c r="K518" s="413" t="str">
        <f t="shared" si="72"/>
        <v xml:space="preserve">DGD, </v>
      </c>
      <c r="L518" s="413" t="str">
        <f t="shared" si="73"/>
        <v>DGD:0,41;</v>
      </c>
      <c r="M518" s="361"/>
      <c r="N518" s="361"/>
      <c r="O518" s="361"/>
      <c r="P518" s="361"/>
      <c r="Q518" s="361"/>
      <c r="R518" s="361"/>
      <c r="S518" s="361"/>
      <c r="T518" s="361"/>
      <c r="U518" s="361"/>
      <c r="V518" s="361"/>
      <c r="W518" s="361"/>
      <c r="X518" s="361"/>
      <c r="Y518" s="361"/>
      <c r="Z518" s="361"/>
      <c r="AA518" s="361">
        <v>0.41</v>
      </c>
      <c r="AB518" s="361"/>
      <c r="AC518" s="361"/>
      <c r="AD518" s="361"/>
      <c r="AE518" s="361"/>
      <c r="AF518" s="361"/>
      <c r="AG518" s="361"/>
      <c r="AH518" s="361"/>
      <c r="AI518" s="361"/>
      <c r="AJ518" s="361"/>
      <c r="AK518" s="361"/>
      <c r="AL518" s="361"/>
      <c r="AM518" s="361"/>
      <c r="AN518" s="361"/>
      <c r="AO518" s="361"/>
      <c r="AP518" s="361"/>
      <c r="AQ518" s="361"/>
      <c r="AR518" s="361"/>
      <c r="AS518" s="361"/>
      <c r="AT518" s="361"/>
      <c r="AU518" s="361"/>
      <c r="AV518" s="351" t="s">
        <v>266</v>
      </c>
      <c r="AW518" s="351" t="s">
        <v>266</v>
      </c>
      <c r="AX518" s="432" t="s">
        <v>560</v>
      </c>
      <c r="AY518" s="433" t="s">
        <v>560</v>
      </c>
      <c r="AZ518" s="434" t="s">
        <v>1282</v>
      </c>
      <c r="BA518" s="432"/>
      <c r="BB518" s="432"/>
      <c r="BC518" s="195" t="s">
        <v>316</v>
      </c>
      <c r="BD518" s="195"/>
      <c r="BE518" s="195"/>
      <c r="BF518" s="195" t="s">
        <v>263</v>
      </c>
      <c r="BG518" s="195"/>
      <c r="BH518" s="432"/>
    </row>
    <row r="519" spans="1:62" s="179" customFormat="1" ht="24.65" customHeight="1">
      <c r="A519" s="145"/>
      <c r="B519" s="163" t="s">
        <v>1758</v>
      </c>
      <c r="C519" s="164"/>
      <c r="D519" s="368"/>
      <c r="E519" s="368"/>
      <c r="F519" s="368"/>
      <c r="G519" s="410"/>
      <c r="H519" s="411"/>
      <c r="I519" s="411"/>
      <c r="J519" s="411"/>
      <c r="K519" s="411"/>
      <c r="L519" s="411"/>
      <c r="M519" s="368"/>
      <c r="N519" s="368"/>
      <c r="O519" s="368"/>
      <c r="P519" s="368"/>
      <c r="Q519" s="368"/>
      <c r="R519" s="368"/>
      <c r="S519" s="368"/>
      <c r="T519" s="368"/>
      <c r="U519" s="368"/>
      <c r="V519" s="368"/>
      <c r="W519" s="368"/>
      <c r="X519" s="368"/>
      <c r="Y519" s="368"/>
      <c r="Z519" s="368"/>
      <c r="AA519" s="368"/>
      <c r="AB519" s="368"/>
      <c r="AC519" s="368"/>
      <c r="AD519" s="368"/>
      <c r="AE519" s="368"/>
      <c r="AF519" s="368"/>
      <c r="AG519" s="368"/>
      <c r="AH519" s="368"/>
      <c r="AI519" s="368"/>
      <c r="AJ519" s="368"/>
      <c r="AK519" s="368"/>
      <c r="AL519" s="368"/>
      <c r="AM519" s="368"/>
      <c r="AN519" s="368"/>
      <c r="AO519" s="368"/>
      <c r="AP519" s="368"/>
      <c r="AQ519" s="368"/>
      <c r="AR519" s="368"/>
      <c r="AS519" s="368"/>
      <c r="AT519" s="368"/>
      <c r="AU519" s="368"/>
      <c r="AV519" s="368"/>
      <c r="AW519" s="368"/>
      <c r="AX519" s="368"/>
      <c r="AY519" s="257"/>
      <c r="AZ519" s="178"/>
      <c r="BA519" s="368"/>
      <c r="BB519" s="368"/>
      <c r="BC519" s="165"/>
      <c r="BD519" s="165"/>
      <c r="BE519" s="165"/>
      <c r="BF519" s="165"/>
      <c r="BG519" s="165"/>
      <c r="BH519" s="368"/>
      <c r="BI519" s="412"/>
      <c r="BJ519" s="412"/>
    </row>
    <row r="520" spans="1:62" ht="36.75" customHeight="1">
      <c r="A520" s="344">
        <f>SUBTOTAL(3,C$11:$C520)</f>
        <v>353</v>
      </c>
      <c r="B520" s="362" t="s">
        <v>563</v>
      </c>
      <c r="C520" s="338" t="s">
        <v>48</v>
      </c>
      <c r="D520" s="351">
        <v>0.09</v>
      </c>
      <c r="E520" s="351">
        <v>0.09</v>
      </c>
      <c r="F520" s="361"/>
      <c r="G520" s="414">
        <f>SUM(M520:AR520)</f>
        <v>0.09</v>
      </c>
      <c r="H520" s="413" t="s">
        <v>48</v>
      </c>
      <c r="I520" s="413" t="s">
        <v>48</v>
      </c>
      <c r="J520" s="413"/>
      <c r="K520" s="413" t="str">
        <f t="shared" ref="K520:K547" si="74">IF(M520&lt;&gt;0,$M$5&amp;", ","")&amp;IF(N520&lt;&gt;0,$N$5&amp;", ","")&amp;IF(O520&lt;&gt;0,O$5&amp;", ","")&amp;IF(P520&lt;&gt;0,P$5&amp;", ","")&amp;IF(Q520&lt;&gt;0,Q$5&amp;", ","")&amp;IF(R520&lt;&gt;0,R$5&amp;", ","")&amp;IF(S520&lt;&gt;0,S$5&amp;", ","")&amp;IF(T520&lt;&gt;0,T$5&amp;", ","")&amp;IF(U520&lt;&gt;0,U$5&amp;", ","")&amp;IF(V520&lt;&gt;0,V$5&amp;", ","")&amp;IF(W520&lt;&gt;0,W$5&amp;", ","")&amp;IF(X520&lt;&gt;0,X$5&amp;", ","")&amp;IF(Y520&lt;&gt;0,Y$5&amp;", ","")&amp;IF(Z520&lt;&gt;0,Z$5&amp;", ","")&amp;IF(AA520&lt;&gt;0,AA$5&amp;", ","")&amp;IF(AB520&lt;&gt;0,AB$5&amp;", ","")&amp;IF(AC520&lt;&gt;0,AC$5&amp;", ","")&amp;IF(AD520&lt;&gt;0,AD$5&amp;", ","")&amp;IF(AE520&lt;&gt;0,AE$5&amp;", ","")&amp;IF(AF520&lt;&gt;0,AF$5&amp;", ","")&amp;IF(AG520&lt;&gt;0,AG$5&amp;", ","")&amp;IF(AH520&lt;&gt;0,AH$5&amp;", ","")&amp;IF(AI520&lt;&gt;0,AI$5&amp;", ","")&amp;IF(AJ520&lt;&gt;0,AJ$5&amp;", ","")&amp;IF(AK520&lt;&gt;0,AK$5&amp;", ","")&amp;IF(AL520&lt;&gt;0,AL$5&amp;", ","")&amp;IF(AM520&lt;&gt;0,AM$5&amp;", ","")&amp;IF(AN520&lt;&gt;0,AN$5&amp;", ","")&amp;IF(AO520&lt;&gt;0,AO$5&amp;", ","")&amp;IF(AP520&lt;&gt;0,AP$5&amp;", ","")&amp;IF(AQ520&lt;&gt;0,AQ$5&amp;", ","")&amp;IF(AR520&lt;&gt;0,AR$5,"")&amp;IF(AS520&lt;&gt;0,AS$5,"")&amp;IF(AT520&lt;&gt;0,AT$5,"")&amp;IF(AU520&lt;&gt;0,AU$5,"")</f>
        <v xml:space="preserve">DGD, </v>
      </c>
      <c r="L520" s="413" t="str">
        <f t="shared" ref="L520:L536" si="75">IF(M520="","",$M$5&amp;":"&amp;M520&amp;";")&amp;IF(N520="","",$N$5&amp;":"&amp;N520&amp;";")&amp;IF(O520="","",$O$5&amp;":"&amp;O520&amp;";")&amp;IF(P520="","",$P$5&amp;":"&amp;P520&amp;";")&amp;IF(Q520="","",$Q$5&amp;":"&amp;Q520&amp;";")&amp;IF(R520="","",$R$5&amp;":"&amp;R520&amp;";")&amp;IF(S520="","",$S$5&amp;":"&amp;S520&amp;";")&amp;IF(T520="","",$T$5&amp;":"&amp;T520&amp;";")&amp;IF(U520="","",$U$5&amp;":"&amp;U520&amp;";")&amp;IF(V520="","",$V$5&amp;":"&amp;V520&amp;";")&amp;IF(W520="","",$W$5&amp;":"&amp;W520&amp;";")&amp;IF(X520="","",$X$5&amp;":"&amp;X520&amp;";")&amp;IF(Y520="","",$Y$5&amp;":"&amp;Y520&amp;";")&amp;IF(Z520="","",$Z$5&amp;":"&amp;Z520&amp;";")&amp;IF(AA520="","",$AA$5&amp;":"&amp;AA520&amp;";")&amp;IF(AB520="","",$AB$5&amp;":"&amp;AB520&amp;";")&amp;IF(AC520="","",$AC$5&amp;":"&amp;AC520&amp;";")&amp;IF(AD520="","",$AD$5&amp;":"&amp;AD520&amp;";")&amp;IF(AE520="","",$AE$5&amp;":"&amp;AE520&amp;";")&amp;IF(AF520="","",$AF$5&amp;":"&amp;AF520&amp;";")&amp;IF(AG520="","",$AG$5&amp;":"&amp;AG520&amp;";")&amp;IF(AH520="","",$AH$5&amp;":"&amp;AH520&amp;";")&amp;IF(AI520="","",$AI$5&amp;":"&amp;AI520&amp;";")&amp;IF(AJ520="","",$AJ$5&amp;":"&amp;AJ520&amp;";")&amp;IF(AK520="","",$AK$5&amp;":"&amp;AK520&amp;";")&amp;IF(AL520="","",$AL$5&amp;":"&amp;AL520&amp;";")&amp;IF(AM520="","",$AM$5&amp;":"&amp;AM520&amp;";")&amp;IF(AN520="","",$AN$5&amp;":"&amp;AN520&amp;";")&amp;IF(AO520="","",$AO$5&amp;":"&amp;AO520&amp;";")&amp;IF(AP520="","",$AP$5&amp;":"&amp;AP520&amp;";")&amp;IF(AQ520="","",$AQ$5&amp;":"&amp;AQ520&amp;";")&amp;IF(AR520="","",$AR$5&amp;":"&amp;AR520&amp;";")&amp;IF(AS520="","",$AS$5&amp;":"&amp;AS520&amp;";")&amp;IF(AT520="","",$AT$5&amp;":"&amp;AT520&amp;";")&amp;IF(AU520="","",$AU$5&amp;":"&amp;AU520&amp;";")</f>
        <v>DGD:0,09;</v>
      </c>
      <c r="M520" s="361"/>
      <c r="N520" s="361"/>
      <c r="O520" s="361"/>
      <c r="P520" s="361"/>
      <c r="Q520" s="361"/>
      <c r="R520" s="361"/>
      <c r="S520" s="361"/>
      <c r="T520" s="361"/>
      <c r="U520" s="361"/>
      <c r="V520" s="361"/>
      <c r="W520" s="361"/>
      <c r="X520" s="361"/>
      <c r="Y520" s="361"/>
      <c r="Z520" s="361"/>
      <c r="AA520" s="361">
        <v>0.09</v>
      </c>
      <c r="AB520" s="361"/>
      <c r="AC520" s="361"/>
      <c r="AD520" s="361"/>
      <c r="AE520" s="361"/>
      <c r="AF520" s="361"/>
      <c r="AG520" s="361"/>
      <c r="AH520" s="361"/>
      <c r="AI520" s="361"/>
      <c r="AJ520" s="361"/>
      <c r="AK520" s="361"/>
      <c r="AL520" s="361"/>
      <c r="AM520" s="361"/>
      <c r="AN520" s="361"/>
      <c r="AO520" s="361"/>
      <c r="AP520" s="361"/>
      <c r="AQ520" s="361"/>
      <c r="AR520" s="361"/>
      <c r="AS520" s="361"/>
      <c r="AT520" s="361"/>
      <c r="AU520" s="361"/>
      <c r="AV520" s="338" t="s">
        <v>217</v>
      </c>
      <c r="AW520" s="338" t="s">
        <v>217</v>
      </c>
      <c r="AX520" s="350"/>
      <c r="AY520" s="356"/>
      <c r="AZ520" s="352" t="s">
        <v>1285</v>
      </c>
      <c r="BA520" s="350" t="s">
        <v>357</v>
      </c>
      <c r="BB520" s="350"/>
      <c r="BC520" s="195" t="s">
        <v>358</v>
      </c>
      <c r="BD520" s="195"/>
      <c r="BE520" s="195"/>
      <c r="BF520" s="195"/>
      <c r="BG520" s="195"/>
      <c r="BH520" s="350"/>
    </row>
    <row r="521" spans="1:62" ht="42" customHeight="1">
      <c r="A521" s="344">
        <f>SUBTOTAL(3,C$11:$C521)</f>
        <v>354</v>
      </c>
      <c r="B521" s="362" t="s">
        <v>564</v>
      </c>
      <c r="C521" s="338" t="s">
        <v>48</v>
      </c>
      <c r="D521" s="361">
        <v>0.15</v>
      </c>
      <c r="E521" s="366">
        <v>0.15</v>
      </c>
      <c r="F521" s="361"/>
      <c r="G521" s="414">
        <f>SUM(M521:AR521)</f>
        <v>0.15</v>
      </c>
      <c r="H521" s="413" t="s">
        <v>48</v>
      </c>
      <c r="I521" s="413" t="s">
        <v>48</v>
      </c>
      <c r="J521" s="413"/>
      <c r="K521" s="413" t="str">
        <f t="shared" si="74"/>
        <v xml:space="preserve">DGD, </v>
      </c>
      <c r="L521" s="413" t="str">
        <f t="shared" si="75"/>
        <v>DGD:0,15;</v>
      </c>
      <c r="M521" s="361"/>
      <c r="N521" s="361"/>
      <c r="O521" s="361"/>
      <c r="P521" s="361"/>
      <c r="Q521" s="361"/>
      <c r="R521" s="361"/>
      <c r="S521" s="361"/>
      <c r="T521" s="361"/>
      <c r="U521" s="361"/>
      <c r="V521" s="361"/>
      <c r="W521" s="361"/>
      <c r="X521" s="361"/>
      <c r="Y521" s="361"/>
      <c r="Z521" s="361"/>
      <c r="AA521" s="361">
        <v>0.15</v>
      </c>
      <c r="AB521" s="361"/>
      <c r="AC521" s="361"/>
      <c r="AD521" s="361"/>
      <c r="AE521" s="361"/>
      <c r="AF521" s="361"/>
      <c r="AG521" s="361"/>
      <c r="AH521" s="361"/>
      <c r="AI521" s="361"/>
      <c r="AJ521" s="361"/>
      <c r="AK521" s="361"/>
      <c r="AL521" s="361"/>
      <c r="AM521" s="361"/>
      <c r="AN521" s="361"/>
      <c r="AO521" s="361"/>
      <c r="AP521" s="361"/>
      <c r="AQ521" s="361"/>
      <c r="AR521" s="361"/>
      <c r="AS521" s="361"/>
      <c r="AT521" s="361"/>
      <c r="AU521" s="361"/>
      <c r="AV521" s="338" t="s">
        <v>289</v>
      </c>
      <c r="AW521" s="338" t="s">
        <v>289</v>
      </c>
      <c r="AX521" s="350" t="s">
        <v>995</v>
      </c>
      <c r="AY521" s="356" t="s">
        <v>995</v>
      </c>
      <c r="AZ521" s="352" t="s">
        <v>1286</v>
      </c>
      <c r="BA521" s="350" t="s">
        <v>357</v>
      </c>
      <c r="BB521" s="350"/>
      <c r="BC521" s="195" t="s">
        <v>358</v>
      </c>
      <c r="BD521" s="195"/>
      <c r="BE521" s="195"/>
      <c r="BF521" s="195"/>
      <c r="BG521" s="195"/>
      <c r="BH521" s="350"/>
    </row>
    <row r="522" spans="1:62" ht="42" customHeight="1">
      <c r="A522" s="344">
        <f>SUBTOTAL(3,C$11:$C522)</f>
        <v>355</v>
      </c>
      <c r="B522" s="362" t="s">
        <v>565</v>
      </c>
      <c r="C522" s="338" t="s">
        <v>48</v>
      </c>
      <c r="D522" s="361">
        <v>0.17</v>
      </c>
      <c r="E522" s="366">
        <v>0.17</v>
      </c>
      <c r="F522" s="361"/>
      <c r="G522" s="414">
        <f>SUM(M522:AR522)</f>
        <v>0.17</v>
      </c>
      <c r="H522" s="413" t="s">
        <v>48</v>
      </c>
      <c r="I522" s="413" t="s">
        <v>48</v>
      </c>
      <c r="J522" s="413"/>
      <c r="K522" s="413" t="str">
        <f t="shared" si="74"/>
        <v xml:space="preserve">DGD, </v>
      </c>
      <c r="L522" s="413" t="str">
        <f t="shared" si="75"/>
        <v>DGD:0,17;</v>
      </c>
      <c r="M522" s="361"/>
      <c r="N522" s="361"/>
      <c r="O522" s="361"/>
      <c r="P522" s="361"/>
      <c r="Q522" s="361"/>
      <c r="R522" s="361"/>
      <c r="S522" s="361"/>
      <c r="T522" s="361"/>
      <c r="U522" s="361"/>
      <c r="V522" s="361"/>
      <c r="W522" s="361"/>
      <c r="X522" s="361"/>
      <c r="Y522" s="361"/>
      <c r="Z522" s="361"/>
      <c r="AA522" s="361">
        <v>0.17</v>
      </c>
      <c r="AB522" s="361"/>
      <c r="AC522" s="361"/>
      <c r="AD522" s="361"/>
      <c r="AE522" s="361"/>
      <c r="AF522" s="361"/>
      <c r="AG522" s="361"/>
      <c r="AH522" s="361"/>
      <c r="AI522" s="361"/>
      <c r="AJ522" s="361"/>
      <c r="AK522" s="361"/>
      <c r="AL522" s="361"/>
      <c r="AM522" s="361"/>
      <c r="AN522" s="361"/>
      <c r="AO522" s="361"/>
      <c r="AP522" s="361"/>
      <c r="AQ522" s="361"/>
      <c r="AR522" s="361"/>
      <c r="AS522" s="361"/>
      <c r="AT522" s="361"/>
      <c r="AU522" s="361"/>
      <c r="AV522" s="338" t="s">
        <v>280</v>
      </c>
      <c r="AW522" s="338" t="s">
        <v>280</v>
      </c>
      <c r="AX522" s="533" t="s">
        <v>566</v>
      </c>
      <c r="AY522" s="534" t="s">
        <v>566</v>
      </c>
      <c r="AZ522" s="352" t="s">
        <v>1287</v>
      </c>
      <c r="BA522" s="350" t="s">
        <v>357</v>
      </c>
      <c r="BB522" s="350"/>
      <c r="BC522" s="195" t="s">
        <v>358</v>
      </c>
      <c r="BD522" s="195"/>
      <c r="BE522" s="195"/>
      <c r="BF522" s="195"/>
      <c r="BG522" s="195"/>
      <c r="BH522" s="350"/>
    </row>
    <row r="523" spans="1:62" ht="36.75" customHeight="1">
      <c r="A523" s="344">
        <f>SUBTOTAL(3,C$11:$C523)</f>
        <v>356</v>
      </c>
      <c r="B523" s="337" t="s">
        <v>567</v>
      </c>
      <c r="C523" s="338" t="s">
        <v>48</v>
      </c>
      <c r="D523" s="351">
        <v>0.5</v>
      </c>
      <c r="E523" s="351">
        <v>0.5</v>
      </c>
      <c r="F523" s="361"/>
      <c r="G523" s="414">
        <f>SUM(M523:AR523)</f>
        <v>0.5</v>
      </c>
      <c r="H523" s="413" t="s">
        <v>48</v>
      </c>
      <c r="I523" s="413" t="s">
        <v>48</v>
      </c>
      <c r="J523" s="413"/>
      <c r="K523" s="413" t="str">
        <f t="shared" si="74"/>
        <v xml:space="preserve">DGD, </v>
      </c>
      <c r="L523" s="413" t="str">
        <f t="shared" si="75"/>
        <v>DGD:0,5;</v>
      </c>
      <c r="M523" s="361"/>
      <c r="N523" s="361"/>
      <c r="O523" s="361"/>
      <c r="P523" s="361"/>
      <c r="Q523" s="361"/>
      <c r="R523" s="361"/>
      <c r="S523" s="361"/>
      <c r="T523" s="361"/>
      <c r="U523" s="361"/>
      <c r="V523" s="361"/>
      <c r="W523" s="361"/>
      <c r="X523" s="361"/>
      <c r="Y523" s="361"/>
      <c r="Z523" s="361"/>
      <c r="AA523" s="361">
        <v>0.5</v>
      </c>
      <c r="AB523" s="361"/>
      <c r="AC523" s="361"/>
      <c r="AD523" s="361"/>
      <c r="AE523" s="361"/>
      <c r="AF523" s="361"/>
      <c r="AG523" s="361"/>
      <c r="AH523" s="361"/>
      <c r="AI523" s="361"/>
      <c r="AJ523" s="361"/>
      <c r="AK523" s="361"/>
      <c r="AL523" s="361"/>
      <c r="AM523" s="361"/>
      <c r="AN523" s="361"/>
      <c r="AO523" s="361"/>
      <c r="AP523" s="361"/>
      <c r="AQ523" s="361"/>
      <c r="AR523" s="361"/>
      <c r="AS523" s="361"/>
      <c r="AT523" s="361"/>
      <c r="AU523" s="361"/>
      <c r="AV523" s="338" t="s">
        <v>318</v>
      </c>
      <c r="AW523" s="338" t="s">
        <v>318</v>
      </c>
      <c r="AX523" s="351" t="s">
        <v>332</v>
      </c>
      <c r="AY523" s="260" t="s">
        <v>332</v>
      </c>
      <c r="AZ523" s="181" t="s">
        <v>1288</v>
      </c>
      <c r="BA523" s="350" t="s">
        <v>357</v>
      </c>
      <c r="BB523" s="351"/>
      <c r="BC523" s="195" t="s">
        <v>358</v>
      </c>
      <c r="BD523" s="195"/>
      <c r="BE523" s="195"/>
      <c r="BF523" s="195"/>
      <c r="BG523" s="195"/>
      <c r="BH523" s="351"/>
    </row>
    <row r="524" spans="1:62" ht="42" customHeight="1">
      <c r="A524" s="344">
        <f>SUBTOTAL(3,C$11:$C524)</f>
        <v>357</v>
      </c>
      <c r="B524" s="337" t="s">
        <v>1289</v>
      </c>
      <c r="C524" s="338" t="s">
        <v>48</v>
      </c>
      <c r="D524" s="351">
        <v>0.8</v>
      </c>
      <c r="E524" s="351">
        <v>0.8</v>
      </c>
      <c r="F524" s="361"/>
      <c r="G524" s="414"/>
      <c r="H524" s="413" t="s">
        <v>48</v>
      </c>
      <c r="I524" s="413" t="s">
        <v>48</v>
      </c>
      <c r="J524" s="413"/>
      <c r="K524" s="413" t="str">
        <f t="shared" si="74"/>
        <v xml:space="preserve">DGD, </v>
      </c>
      <c r="L524" s="413" t="str">
        <f t="shared" si="75"/>
        <v>DGD:0,5;</v>
      </c>
      <c r="M524" s="361"/>
      <c r="N524" s="361"/>
      <c r="O524" s="361"/>
      <c r="P524" s="361"/>
      <c r="Q524" s="361"/>
      <c r="R524" s="361"/>
      <c r="S524" s="361"/>
      <c r="T524" s="361"/>
      <c r="U524" s="361"/>
      <c r="V524" s="361"/>
      <c r="W524" s="361"/>
      <c r="X524" s="361"/>
      <c r="Y524" s="361"/>
      <c r="Z524" s="361"/>
      <c r="AA524" s="361">
        <v>0.5</v>
      </c>
      <c r="AB524" s="361"/>
      <c r="AC524" s="361"/>
      <c r="AD524" s="361"/>
      <c r="AE524" s="361"/>
      <c r="AF524" s="361"/>
      <c r="AG524" s="361"/>
      <c r="AH524" s="361"/>
      <c r="AI524" s="361"/>
      <c r="AJ524" s="361"/>
      <c r="AK524" s="361"/>
      <c r="AL524" s="361"/>
      <c r="AM524" s="361"/>
      <c r="AN524" s="361"/>
      <c r="AO524" s="361"/>
      <c r="AP524" s="361"/>
      <c r="AQ524" s="361"/>
      <c r="AR524" s="361"/>
      <c r="AS524" s="361"/>
      <c r="AT524" s="361"/>
      <c r="AU524" s="361"/>
      <c r="AV524" s="338" t="s">
        <v>309</v>
      </c>
      <c r="AW524" s="338" t="s">
        <v>309</v>
      </c>
      <c r="AX524" s="351" t="s">
        <v>1290</v>
      </c>
      <c r="AY524" s="260" t="s">
        <v>1290</v>
      </c>
      <c r="AZ524" s="181" t="s">
        <v>1291</v>
      </c>
      <c r="BA524" s="350" t="s">
        <v>357</v>
      </c>
      <c r="BB524" s="351"/>
      <c r="BC524" s="195" t="s">
        <v>358</v>
      </c>
      <c r="BD524" s="195"/>
      <c r="BE524" s="195"/>
      <c r="BF524" s="195"/>
      <c r="BG524" s="195"/>
      <c r="BH524" s="351"/>
    </row>
    <row r="525" spans="1:62" s="183" customFormat="1" ht="25.5" customHeight="1">
      <c r="A525" s="167"/>
      <c r="B525" s="168" t="s">
        <v>1758</v>
      </c>
      <c r="C525" s="164"/>
      <c r="D525" s="169"/>
      <c r="E525" s="169"/>
      <c r="F525" s="169"/>
      <c r="G525" s="441"/>
      <c r="H525" s="442"/>
      <c r="I525" s="442"/>
      <c r="J525" s="442"/>
      <c r="K525" s="442"/>
      <c r="L525" s="442"/>
      <c r="M525" s="169"/>
      <c r="N525" s="169"/>
      <c r="O525" s="169"/>
      <c r="P525" s="169"/>
      <c r="Q525" s="169"/>
      <c r="R525" s="169"/>
      <c r="S525" s="169"/>
      <c r="T525" s="169"/>
      <c r="U525" s="169"/>
      <c r="V525" s="169"/>
      <c r="W525" s="169"/>
      <c r="X525" s="169"/>
      <c r="Y525" s="169"/>
      <c r="Z525" s="169"/>
      <c r="AA525" s="169"/>
      <c r="AB525" s="169"/>
      <c r="AC525" s="169"/>
      <c r="AD525" s="169"/>
      <c r="AE525" s="169"/>
      <c r="AF525" s="169"/>
      <c r="AG525" s="169"/>
      <c r="AH525" s="169"/>
      <c r="AI525" s="169"/>
      <c r="AJ525" s="169"/>
      <c r="AK525" s="169"/>
      <c r="AL525" s="169"/>
      <c r="AM525" s="169"/>
      <c r="AN525" s="169"/>
      <c r="AO525" s="169"/>
      <c r="AP525" s="169"/>
      <c r="AQ525" s="169"/>
      <c r="AR525" s="169"/>
      <c r="AS525" s="169"/>
      <c r="AT525" s="169"/>
      <c r="AU525" s="169"/>
      <c r="AV525" s="169"/>
      <c r="AW525" s="169"/>
      <c r="AX525" s="169"/>
      <c r="AY525" s="263"/>
      <c r="AZ525" s="165"/>
      <c r="BA525" s="169"/>
      <c r="BB525" s="169"/>
      <c r="BC525" s="165"/>
      <c r="BD525" s="165"/>
      <c r="BE525" s="165"/>
      <c r="BF525" s="165"/>
      <c r="BG525" s="165"/>
      <c r="BH525" s="169"/>
      <c r="BI525" s="412"/>
      <c r="BJ525" s="443"/>
    </row>
    <row r="526" spans="1:62" s="430" customFormat="1" ht="42" customHeight="1">
      <c r="A526" s="444"/>
      <c r="B526" s="445" t="s">
        <v>1940</v>
      </c>
      <c r="C526" s="422" t="s">
        <v>48</v>
      </c>
      <c r="D526" s="447">
        <v>1.31</v>
      </c>
      <c r="E526" s="447">
        <v>1.1299999999999999</v>
      </c>
      <c r="F526" s="419">
        <v>0.18</v>
      </c>
      <c r="G526" s="421"/>
      <c r="H526" s="420"/>
      <c r="I526" s="420"/>
      <c r="J526" s="420"/>
      <c r="K526" s="420"/>
      <c r="L526" s="420"/>
      <c r="M526" s="419"/>
      <c r="N526" s="419"/>
      <c r="O526" s="419"/>
      <c r="P526" s="419"/>
      <c r="Q526" s="419"/>
      <c r="R526" s="419"/>
      <c r="S526" s="419"/>
      <c r="T526" s="419"/>
      <c r="U526" s="419"/>
      <c r="V526" s="419"/>
      <c r="W526" s="419"/>
      <c r="X526" s="419"/>
      <c r="Y526" s="419"/>
      <c r="Z526" s="419"/>
      <c r="AA526" s="419"/>
      <c r="AB526" s="419"/>
      <c r="AC526" s="419"/>
      <c r="AD526" s="419"/>
      <c r="AE526" s="419"/>
      <c r="AF526" s="419"/>
      <c r="AG526" s="419"/>
      <c r="AH526" s="419"/>
      <c r="AI526" s="419"/>
      <c r="AJ526" s="419"/>
      <c r="AK526" s="419"/>
      <c r="AL526" s="419"/>
      <c r="AM526" s="419"/>
      <c r="AN526" s="419"/>
      <c r="AO526" s="419"/>
      <c r="AP526" s="419"/>
      <c r="AQ526" s="419"/>
      <c r="AR526" s="419"/>
      <c r="AS526" s="419"/>
      <c r="AT526" s="419"/>
      <c r="AU526" s="419"/>
      <c r="AV526" s="422" t="s">
        <v>309</v>
      </c>
      <c r="AW526" s="422" t="s">
        <v>309</v>
      </c>
      <c r="AX526" s="447"/>
      <c r="AY526" s="408"/>
      <c r="AZ526" s="448"/>
      <c r="BA526" s="449"/>
      <c r="BB526" s="447"/>
      <c r="BC526" s="487"/>
      <c r="BD526" s="487"/>
      <c r="BE526" s="487"/>
      <c r="BF526" s="487"/>
      <c r="BG526" s="487"/>
      <c r="BH526" s="447"/>
      <c r="BI526" s="484" t="s">
        <v>1941</v>
      </c>
      <c r="BJ526" s="429"/>
    </row>
    <row r="527" spans="1:62" s="485" customFormat="1" ht="43" customHeight="1">
      <c r="A527" s="444"/>
      <c r="B527" s="479" t="s">
        <v>1942</v>
      </c>
      <c r="C527" s="422" t="s">
        <v>48</v>
      </c>
      <c r="D527" s="480">
        <v>0.68</v>
      </c>
      <c r="E527" s="480">
        <v>0.53</v>
      </c>
      <c r="F527" s="480">
        <v>0.15</v>
      </c>
      <c r="G527" s="481"/>
      <c r="H527" s="420"/>
      <c r="I527" s="420"/>
      <c r="J527" s="420"/>
      <c r="K527" s="420"/>
      <c r="L527" s="420"/>
      <c r="M527" s="446"/>
      <c r="N527" s="446"/>
      <c r="O527" s="446"/>
      <c r="P527" s="446"/>
      <c r="Q527" s="446"/>
      <c r="R527" s="446"/>
      <c r="S527" s="446"/>
      <c r="T527" s="446"/>
      <c r="U527" s="446"/>
      <c r="V527" s="446"/>
      <c r="W527" s="446"/>
      <c r="X527" s="446"/>
      <c r="Y527" s="446"/>
      <c r="Z527" s="446"/>
      <c r="AA527" s="446"/>
      <c r="AB527" s="446"/>
      <c r="AC527" s="446"/>
      <c r="AD527" s="446"/>
      <c r="AE527" s="446"/>
      <c r="AF527" s="446"/>
      <c r="AG527" s="446"/>
      <c r="AH527" s="446"/>
      <c r="AI527" s="446"/>
      <c r="AJ527" s="446"/>
      <c r="AK527" s="446"/>
      <c r="AL527" s="446"/>
      <c r="AM527" s="446"/>
      <c r="AN527" s="446"/>
      <c r="AO527" s="446"/>
      <c r="AP527" s="446"/>
      <c r="AQ527" s="446"/>
      <c r="AR527" s="446"/>
      <c r="AS527" s="446"/>
      <c r="AT527" s="446"/>
      <c r="AU527" s="446"/>
      <c r="AV527" s="422" t="s">
        <v>309</v>
      </c>
      <c r="AW527" s="422" t="s">
        <v>309</v>
      </c>
      <c r="AX527" s="449"/>
      <c r="AY527" s="482"/>
      <c r="AZ527" s="449"/>
      <c r="BA527" s="449"/>
      <c r="BB527" s="449"/>
      <c r="BC527" s="483"/>
      <c r="BD527" s="483"/>
      <c r="BE527" s="483"/>
      <c r="BF527" s="483"/>
      <c r="BG527" s="483"/>
      <c r="BH527" s="449"/>
      <c r="BI527" s="484" t="s">
        <v>1859</v>
      </c>
      <c r="BJ527" s="429"/>
    </row>
    <row r="528" spans="1:62" s="485" customFormat="1" ht="43" customHeight="1">
      <c r="A528" s="486"/>
      <c r="B528" s="479" t="s">
        <v>1943</v>
      </c>
      <c r="C528" s="422" t="s">
        <v>48</v>
      </c>
      <c r="D528" s="494">
        <v>0.21</v>
      </c>
      <c r="E528" s="535"/>
      <c r="F528" s="535"/>
      <c r="G528" s="481"/>
      <c r="H528" s="420"/>
      <c r="I528" s="420"/>
      <c r="J528" s="420"/>
      <c r="K528" s="420"/>
      <c r="L528" s="420"/>
      <c r="M528" s="446"/>
      <c r="N528" s="446"/>
      <c r="O528" s="446"/>
      <c r="P528" s="446"/>
      <c r="Q528" s="446"/>
      <c r="R528" s="446"/>
      <c r="S528" s="446"/>
      <c r="T528" s="446"/>
      <c r="U528" s="446"/>
      <c r="V528" s="446"/>
      <c r="W528" s="446"/>
      <c r="X528" s="446"/>
      <c r="Y528" s="446"/>
      <c r="Z528" s="446"/>
      <c r="AA528" s="446">
        <v>0.21</v>
      </c>
      <c r="AB528" s="446"/>
      <c r="AC528" s="446"/>
      <c r="AD528" s="446"/>
      <c r="AE528" s="446"/>
      <c r="AF528" s="446"/>
      <c r="AG528" s="446"/>
      <c r="AH528" s="446"/>
      <c r="AI528" s="446"/>
      <c r="AJ528" s="446"/>
      <c r="AK528" s="446"/>
      <c r="AL528" s="446"/>
      <c r="AM528" s="446"/>
      <c r="AN528" s="446"/>
      <c r="AO528" s="446"/>
      <c r="AP528" s="446"/>
      <c r="AQ528" s="446"/>
      <c r="AR528" s="446"/>
      <c r="AS528" s="446"/>
      <c r="AT528" s="446"/>
      <c r="AU528" s="446"/>
      <c r="AV528" s="422" t="s">
        <v>318</v>
      </c>
      <c r="AW528" s="422"/>
      <c r="AX528" s="449"/>
      <c r="AY528" s="482"/>
      <c r="AZ528" s="449"/>
      <c r="BA528" s="449"/>
      <c r="BB528" s="449"/>
      <c r="BC528" s="483"/>
      <c r="BD528" s="483"/>
      <c r="BE528" s="483"/>
      <c r="BF528" s="483"/>
      <c r="BG528" s="483"/>
      <c r="BH528" s="449"/>
      <c r="BI528" s="484" t="s">
        <v>1859</v>
      </c>
      <c r="BJ528" s="429"/>
    </row>
    <row r="529" spans="1:62" ht="25" customHeight="1">
      <c r="A529" s="529" t="s">
        <v>977</v>
      </c>
      <c r="B529" s="530" t="s">
        <v>115</v>
      </c>
      <c r="C529" s="182"/>
      <c r="D529" s="350"/>
      <c r="E529" s="350"/>
      <c r="F529" s="350"/>
      <c r="G529" s="414"/>
      <c r="H529" s="413"/>
      <c r="I529" s="413"/>
      <c r="J529" s="413"/>
      <c r="K529" s="413" t="str">
        <f t="shared" si="74"/>
        <v/>
      </c>
      <c r="L529" s="413" t="str">
        <f t="shared" si="75"/>
        <v/>
      </c>
      <c r="M529" s="350"/>
      <c r="N529" s="350"/>
      <c r="O529" s="350"/>
      <c r="P529" s="350"/>
      <c r="Q529" s="350"/>
      <c r="R529" s="350"/>
      <c r="S529" s="350"/>
      <c r="T529" s="350"/>
      <c r="U529" s="350"/>
      <c r="V529" s="350"/>
      <c r="W529" s="350"/>
      <c r="X529" s="350"/>
      <c r="Y529" s="350"/>
      <c r="Z529" s="350"/>
      <c r="AA529" s="350"/>
      <c r="AB529" s="350"/>
      <c r="AC529" s="350"/>
      <c r="AD529" s="350"/>
      <c r="AE529" s="350"/>
      <c r="AF529" s="350"/>
      <c r="AG529" s="350"/>
      <c r="AH529" s="350"/>
      <c r="AI529" s="350"/>
      <c r="AJ529" s="350"/>
      <c r="AK529" s="350"/>
      <c r="AL529" s="350"/>
      <c r="AM529" s="350"/>
      <c r="AN529" s="350"/>
      <c r="AO529" s="350"/>
      <c r="AP529" s="350"/>
      <c r="AQ529" s="350"/>
      <c r="AR529" s="350"/>
      <c r="AS529" s="350"/>
      <c r="AT529" s="350"/>
      <c r="AU529" s="350"/>
      <c r="AV529" s="350"/>
      <c r="AW529" s="350"/>
      <c r="AX529" s="350"/>
      <c r="AY529" s="356"/>
      <c r="AZ529" s="352"/>
      <c r="BA529" s="350"/>
      <c r="BB529" s="350"/>
      <c r="BC529" s="195"/>
      <c r="BD529" s="195"/>
      <c r="BE529" s="195"/>
      <c r="BF529" s="195"/>
      <c r="BG529" s="195"/>
      <c r="BH529" s="350"/>
    </row>
    <row r="530" spans="1:62" s="179" customFormat="1" ht="24.65" customHeight="1">
      <c r="A530" s="145"/>
      <c r="B530" s="163" t="s">
        <v>1757</v>
      </c>
      <c r="C530" s="164"/>
      <c r="D530" s="368"/>
      <c r="E530" s="368"/>
      <c r="F530" s="368"/>
      <c r="G530" s="410"/>
      <c r="H530" s="411"/>
      <c r="I530" s="411"/>
      <c r="J530" s="411"/>
      <c r="K530" s="411"/>
      <c r="L530" s="411"/>
      <c r="M530" s="368"/>
      <c r="N530" s="368"/>
      <c r="O530" s="368"/>
      <c r="P530" s="368"/>
      <c r="Q530" s="368"/>
      <c r="R530" s="368"/>
      <c r="S530" s="368"/>
      <c r="T530" s="368"/>
      <c r="U530" s="368"/>
      <c r="V530" s="368"/>
      <c r="W530" s="368"/>
      <c r="X530" s="368"/>
      <c r="Y530" s="368"/>
      <c r="Z530" s="368"/>
      <c r="AA530" s="368"/>
      <c r="AB530" s="368"/>
      <c r="AC530" s="368"/>
      <c r="AD530" s="368"/>
      <c r="AE530" s="368"/>
      <c r="AF530" s="368"/>
      <c r="AG530" s="368"/>
      <c r="AH530" s="368"/>
      <c r="AI530" s="368"/>
      <c r="AJ530" s="368"/>
      <c r="AK530" s="368"/>
      <c r="AL530" s="368"/>
      <c r="AM530" s="368"/>
      <c r="AN530" s="368"/>
      <c r="AO530" s="368"/>
      <c r="AP530" s="368"/>
      <c r="AQ530" s="368"/>
      <c r="AR530" s="368"/>
      <c r="AS530" s="368"/>
      <c r="AT530" s="368"/>
      <c r="AU530" s="368"/>
      <c r="AV530" s="368"/>
      <c r="AW530" s="368"/>
      <c r="AX530" s="368"/>
      <c r="AY530" s="257"/>
      <c r="AZ530" s="178"/>
      <c r="BA530" s="368"/>
      <c r="BB530" s="368"/>
      <c r="BC530" s="165"/>
      <c r="BD530" s="165"/>
      <c r="BE530" s="165"/>
      <c r="BF530" s="165"/>
      <c r="BG530" s="165"/>
      <c r="BH530" s="368"/>
      <c r="BI530" s="412"/>
      <c r="BJ530" s="412"/>
    </row>
    <row r="531" spans="1:62" ht="36" customHeight="1">
      <c r="A531" s="344">
        <f>SUBTOTAL(3,C$11:$C531)</f>
        <v>361</v>
      </c>
      <c r="B531" s="337" t="s">
        <v>578</v>
      </c>
      <c r="C531" s="338" t="s">
        <v>44</v>
      </c>
      <c r="D531" s="339">
        <v>1.3</v>
      </c>
      <c r="E531" s="339">
        <v>1.3</v>
      </c>
      <c r="F531" s="196"/>
      <c r="G531" s="414">
        <f>SUM(M531:AR531)</f>
        <v>1.3</v>
      </c>
      <c r="H531" s="413" t="s">
        <v>44</v>
      </c>
      <c r="I531" s="413" t="s">
        <v>44</v>
      </c>
      <c r="J531" s="413"/>
      <c r="K531" s="413" t="str">
        <f t="shared" si="74"/>
        <v xml:space="preserve">DNL, </v>
      </c>
      <c r="L531" s="413" t="str">
        <f t="shared" si="75"/>
        <v>DNL:1,3;</v>
      </c>
      <c r="M531" s="196"/>
      <c r="N531" s="196"/>
      <c r="O531" s="196"/>
      <c r="P531" s="196"/>
      <c r="Q531" s="196"/>
      <c r="R531" s="196"/>
      <c r="S531" s="196"/>
      <c r="T531" s="196"/>
      <c r="U531" s="196"/>
      <c r="V531" s="196"/>
      <c r="W531" s="196"/>
      <c r="X531" s="196"/>
      <c r="Y531" s="196"/>
      <c r="Z531" s="196"/>
      <c r="AA531" s="196"/>
      <c r="AB531" s="196"/>
      <c r="AC531" s="196">
        <v>1.3</v>
      </c>
      <c r="AD531" s="196"/>
      <c r="AE531" s="196"/>
      <c r="AF531" s="196"/>
      <c r="AG531" s="196"/>
      <c r="AH531" s="196"/>
      <c r="AI531" s="196"/>
      <c r="AJ531" s="196"/>
      <c r="AK531" s="196"/>
      <c r="AL531" s="196"/>
      <c r="AM531" s="196"/>
      <c r="AN531" s="196"/>
      <c r="AO531" s="196"/>
      <c r="AP531" s="196"/>
      <c r="AQ531" s="196"/>
      <c r="AR531" s="196"/>
      <c r="AS531" s="196"/>
      <c r="AT531" s="196"/>
      <c r="AU531" s="196"/>
      <c r="AV531" s="338" t="s">
        <v>217</v>
      </c>
      <c r="AW531" s="338" t="s">
        <v>217</v>
      </c>
      <c r="AX531" s="351" t="s">
        <v>579</v>
      </c>
      <c r="AY531" s="260" t="s">
        <v>579</v>
      </c>
      <c r="AZ531" s="181" t="s">
        <v>1300</v>
      </c>
      <c r="BA531" s="351"/>
      <c r="BB531" s="351"/>
      <c r="BC531" s="156" t="s">
        <v>316</v>
      </c>
      <c r="BD531" s="156"/>
      <c r="BE531" s="156"/>
      <c r="BF531" s="156" t="s">
        <v>263</v>
      </c>
      <c r="BG531" s="156"/>
      <c r="BH531" s="351"/>
    </row>
    <row r="532" spans="1:62" ht="25" customHeight="1">
      <c r="A532" s="529" t="s">
        <v>978</v>
      </c>
      <c r="B532" s="530" t="s">
        <v>590</v>
      </c>
      <c r="C532" s="529"/>
      <c r="D532" s="350"/>
      <c r="E532" s="350"/>
      <c r="F532" s="350"/>
      <c r="G532" s="414"/>
      <c r="H532" s="413"/>
      <c r="I532" s="413"/>
      <c r="J532" s="413"/>
      <c r="K532" s="413" t="str">
        <f t="shared" si="74"/>
        <v/>
      </c>
      <c r="L532" s="413" t="str">
        <f t="shared" si="75"/>
        <v/>
      </c>
      <c r="M532" s="350"/>
      <c r="N532" s="350"/>
      <c r="O532" s="350"/>
      <c r="P532" s="350"/>
      <c r="Q532" s="350"/>
      <c r="R532" s="350"/>
      <c r="S532" s="350"/>
      <c r="T532" s="350"/>
      <c r="U532" s="350"/>
      <c r="V532" s="350"/>
      <c r="W532" s="350"/>
      <c r="X532" s="350"/>
      <c r="Y532" s="350"/>
      <c r="Z532" s="350"/>
      <c r="AA532" s="350"/>
      <c r="AB532" s="350"/>
      <c r="AC532" s="350"/>
      <c r="AD532" s="350"/>
      <c r="AE532" s="350"/>
      <c r="AF532" s="350"/>
      <c r="AG532" s="350"/>
      <c r="AH532" s="350"/>
      <c r="AI532" s="350"/>
      <c r="AJ532" s="350"/>
      <c r="AK532" s="350"/>
      <c r="AL532" s="350"/>
      <c r="AM532" s="350"/>
      <c r="AN532" s="350"/>
      <c r="AO532" s="350"/>
      <c r="AP532" s="350"/>
      <c r="AQ532" s="350"/>
      <c r="AR532" s="350"/>
      <c r="AS532" s="350"/>
      <c r="AT532" s="350"/>
      <c r="AU532" s="350"/>
      <c r="AV532" s="350"/>
      <c r="AW532" s="350"/>
      <c r="AX532" s="350"/>
      <c r="AY532" s="356"/>
      <c r="AZ532" s="352"/>
      <c r="BA532" s="350"/>
      <c r="BB532" s="350"/>
      <c r="BC532" s="195"/>
      <c r="BD532" s="195"/>
      <c r="BE532" s="195"/>
      <c r="BF532" s="195"/>
      <c r="BG532" s="195"/>
      <c r="BH532" s="350"/>
    </row>
    <row r="533" spans="1:62" s="179" customFormat="1" ht="24.65" customHeight="1">
      <c r="A533" s="145"/>
      <c r="B533" s="163" t="s">
        <v>1757</v>
      </c>
      <c r="C533" s="164"/>
      <c r="D533" s="368"/>
      <c r="E533" s="368"/>
      <c r="F533" s="368"/>
      <c r="G533" s="410"/>
      <c r="H533" s="411"/>
      <c r="I533" s="411"/>
      <c r="J533" s="411"/>
      <c r="K533" s="411"/>
      <c r="L533" s="411"/>
      <c r="M533" s="368"/>
      <c r="N533" s="368"/>
      <c r="O533" s="368"/>
      <c r="P533" s="368"/>
      <c r="Q533" s="368"/>
      <c r="R533" s="368"/>
      <c r="S533" s="368"/>
      <c r="T533" s="368"/>
      <c r="U533" s="368"/>
      <c r="V533" s="368"/>
      <c r="W533" s="368"/>
      <c r="X533" s="368"/>
      <c r="Y533" s="368"/>
      <c r="Z533" s="368"/>
      <c r="AA533" s="368"/>
      <c r="AB533" s="368"/>
      <c r="AC533" s="368"/>
      <c r="AD533" s="368"/>
      <c r="AE533" s="368"/>
      <c r="AF533" s="368"/>
      <c r="AG533" s="368"/>
      <c r="AH533" s="368"/>
      <c r="AI533" s="368"/>
      <c r="AJ533" s="368"/>
      <c r="AK533" s="368"/>
      <c r="AL533" s="368"/>
      <c r="AM533" s="368"/>
      <c r="AN533" s="368"/>
      <c r="AO533" s="368"/>
      <c r="AP533" s="368"/>
      <c r="AQ533" s="368"/>
      <c r="AR533" s="368"/>
      <c r="AS533" s="368"/>
      <c r="AT533" s="368"/>
      <c r="AU533" s="368"/>
      <c r="AV533" s="368"/>
      <c r="AW533" s="368"/>
      <c r="AX533" s="368"/>
      <c r="AY533" s="257"/>
      <c r="AZ533" s="178"/>
      <c r="BA533" s="368"/>
      <c r="BB533" s="368"/>
      <c r="BC533" s="165"/>
      <c r="BD533" s="165"/>
      <c r="BE533" s="165"/>
      <c r="BF533" s="165"/>
      <c r="BG533" s="165"/>
      <c r="BH533" s="368"/>
      <c r="BI533" s="412"/>
      <c r="BJ533" s="412"/>
    </row>
    <row r="534" spans="1:62" ht="42" customHeight="1">
      <c r="A534" s="344">
        <f>SUBTOTAL(3,C$11:$C534)</f>
        <v>362</v>
      </c>
      <c r="B534" s="337" t="s">
        <v>591</v>
      </c>
      <c r="C534" s="338" t="s">
        <v>35</v>
      </c>
      <c r="D534" s="339">
        <v>0.19</v>
      </c>
      <c r="E534" s="339">
        <v>0.19</v>
      </c>
      <c r="F534" s="339"/>
      <c r="G534" s="414">
        <f>SUM(M534:AR534)</f>
        <v>0.19</v>
      </c>
      <c r="H534" s="413" t="s">
        <v>35</v>
      </c>
      <c r="I534" s="413" t="s">
        <v>35</v>
      </c>
      <c r="J534" s="413"/>
      <c r="K534" s="413" t="str">
        <f t="shared" si="74"/>
        <v xml:space="preserve">DDT, </v>
      </c>
      <c r="L534" s="413" t="str">
        <f t="shared" si="75"/>
        <v>DDT:0,19;</v>
      </c>
      <c r="M534" s="339"/>
      <c r="N534" s="339"/>
      <c r="O534" s="339"/>
      <c r="P534" s="339"/>
      <c r="Q534" s="339"/>
      <c r="R534" s="339"/>
      <c r="S534" s="339"/>
      <c r="T534" s="339"/>
      <c r="U534" s="339"/>
      <c r="V534" s="339"/>
      <c r="W534" s="339"/>
      <c r="X534" s="339"/>
      <c r="Y534" s="339"/>
      <c r="Z534" s="339"/>
      <c r="AA534" s="339"/>
      <c r="AB534" s="339"/>
      <c r="AC534" s="339"/>
      <c r="AD534" s="339"/>
      <c r="AE534" s="339">
        <v>0.19</v>
      </c>
      <c r="AF534" s="339"/>
      <c r="AG534" s="339"/>
      <c r="AH534" s="339"/>
      <c r="AI534" s="339"/>
      <c r="AJ534" s="339"/>
      <c r="AK534" s="339"/>
      <c r="AL534" s="339"/>
      <c r="AM534" s="339"/>
      <c r="AN534" s="339"/>
      <c r="AO534" s="339"/>
      <c r="AP534" s="339"/>
      <c r="AQ534" s="339"/>
      <c r="AR534" s="339"/>
      <c r="AS534" s="339"/>
      <c r="AT534" s="339"/>
      <c r="AU534" s="339"/>
      <c r="AV534" s="338" t="s">
        <v>292</v>
      </c>
      <c r="AW534" s="338" t="s">
        <v>292</v>
      </c>
      <c r="AX534" s="350" t="s">
        <v>592</v>
      </c>
      <c r="AY534" s="356" t="s">
        <v>592</v>
      </c>
      <c r="AZ534" s="352" t="s">
        <v>1312</v>
      </c>
      <c r="BA534" s="350"/>
      <c r="BB534" s="350"/>
      <c r="BC534" s="195" t="s">
        <v>270</v>
      </c>
      <c r="BD534" s="195"/>
      <c r="BE534" s="195"/>
      <c r="BF534" s="195" t="s">
        <v>263</v>
      </c>
      <c r="BG534" s="195"/>
      <c r="BH534" s="350"/>
    </row>
    <row r="535" spans="1:62" ht="42" customHeight="1">
      <c r="A535" s="344">
        <f>SUBTOTAL(3,C$11:$C535)</f>
        <v>363</v>
      </c>
      <c r="B535" s="337" t="s">
        <v>593</v>
      </c>
      <c r="C535" s="338" t="s">
        <v>35</v>
      </c>
      <c r="D535" s="339">
        <v>0.1</v>
      </c>
      <c r="E535" s="339">
        <v>0.1</v>
      </c>
      <c r="F535" s="339"/>
      <c r="G535" s="414">
        <f>SUM(M535:AR535)</f>
        <v>0.1</v>
      </c>
      <c r="H535" s="413" t="s">
        <v>35</v>
      </c>
      <c r="I535" s="413" t="s">
        <v>35</v>
      </c>
      <c r="J535" s="413"/>
      <c r="K535" s="413" t="str">
        <f t="shared" si="74"/>
        <v xml:space="preserve">DDT, </v>
      </c>
      <c r="L535" s="413" t="str">
        <f t="shared" si="75"/>
        <v>DDT:0,1;</v>
      </c>
      <c r="M535" s="339"/>
      <c r="N535" s="339"/>
      <c r="O535" s="339"/>
      <c r="P535" s="339"/>
      <c r="Q535" s="339"/>
      <c r="R535" s="339"/>
      <c r="S535" s="339"/>
      <c r="T535" s="339"/>
      <c r="U535" s="339"/>
      <c r="V535" s="339"/>
      <c r="W535" s="339"/>
      <c r="X535" s="339"/>
      <c r="Y535" s="339"/>
      <c r="Z535" s="339"/>
      <c r="AA535" s="339"/>
      <c r="AB535" s="339"/>
      <c r="AC535" s="339"/>
      <c r="AD535" s="339"/>
      <c r="AE535" s="339">
        <v>0.1</v>
      </c>
      <c r="AF535" s="339"/>
      <c r="AG535" s="339"/>
      <c r="AH535" s="339"/>
      <c r="AI535" s="339"/>
      <c r="AJ535" s="339"/>
      <c r="AK535" s="339"/>
      <c r="AL535" s="339"/>
      <c r="AM535" s="339"/>
      <c r="AN535" s="339"/>
      <c r="AO535" s="339"/>
      <c r="AP535" s="339"/>
      <c r="AQ535" s="339"/>
      <c r="AR535" s="339"/>
      <c r="AS535" s="339"/>
      <c r="AT535" s="339"/>
      <c r="AU535" s="339"/>
      <c r="AV535" s="338" t="s">
        <v>292</v>
      </c>
      <c r="AW535" s="338" t="s">
        <v>292</v>
      </c>
      <c r="AX535" s="350" t="s">
        <v>594</v>
      </c>
      <c r="AY535" s="356" t="s">
        <v>594</v>
      </c>
      <c r="AZ535" s="352" t="s">
        <v>1313</v>
      </c>
      <c r="BA535" s="350"/>
      <c r="BB535" s="350"/>
      <c r="BC535" s="195" t="s">
        <v>270</v>
      </c>
      <c r="BD535" s="195"/>
      <c r="BE535" s="195"/>
      <c r="BF535" s="195" t="s">
        <v>263</v>
      </c>
      <c r="BG535" s="195"/>
      <c r="BH535" s="350"/>
    </row>
    <row r="536" spans="1:62" ht="25" customHeight="1">
      <c r="A536" s="529" t="s">
        <v>979</v>
      </c>
      <c r="B536" s="530" t="s">
        <v>99</v>
      </c>
      <c r="C536" s="529"/>
      <c r="D536" s="350"/>
      <c r="E536" s="350"/>
      <c r="F536" s="350"/>
      <c r="G536" s="414"/>
      <c r="H536" s="413"/>
      <c r="I536" s="413"/>
      <c r="J536" s="413"/>
      <c r="K536" s="413" t="str">
        <f t="shared" si="74"/>
        <v/>
      </c>
      <c r="L536" s="413" t="str">
        <f t="shared" si="75"/>
        <v/>
      </c>
      <c r="M536" s="350"/>
      <c r="N536" s="350"/>
      <c r="O536" s="350"/>
      <c r="P536" s="350"/>
      <c r="Q536" s="350"/>
      <c r="R536" s="350"/>
      <c r="S536" s="350"/>
      <c r="T536" s="350"/>
      <c r="U536" s="350"/>
      <c r="V536" s="350"/>
      <c r="W536" s="350"/>
      <c r="X536" s="350"/>
      <c r="Y536" s="350"/>
      <c r="Z536" s="350"/>
      <c r="AA536" s="350"/>
      <c r="AB536" s="350"/>
      <c r="AC536" s="350"/>
      <c r="AD536" s="350"/>
      <c r="AE536" s="350"/>
      <c r="AF536" s="350"/>
      <c r="AG536" s="350"/>
      <c r="AH536" s="350"/>
      <c r="AI536" s="350"/>
      <c r="AJ536" s="350"/>
      <c r="AK536" s="350"/>
      <c r="AL536" s="350"/>
      <c r="AM536" s="350"/>
      <c r="AN536" s="350"/>
      <c r="AO536" s="350"/>
      <c r="AP536" s="350"/>
      <c r="AQ536" s="350"/>
      <c r="AR536" s="350"/>
      <c r="AS536" s="350"/>
      <c r="AT536" s="350"/>
      <c r="AU536" s="350"/>
      <c r="AV536" s="350"/>
      <c r="AW536" s="350"/>
      <c r="AX536" s="350"/>
      <c r="AY536" s="356"/>
      <c r="AZ536" s="352"/>
      <c r="BA536" s="350"/>
      <c r="BB536" s="350"/>
      <c r="BC536" s="195"/>
      <c r="BD536" s="195"/>
      <c r="BE536" s="195"/>
      <c r="BF536" s="195"/>
      <c r="BG536" s="195"/>
      <c r="BH536" s="350"/>
    </row>
    <row r="537" spans="1:62" s="179" customFormat="1" ht="24.65" customHeight="1">
      <c r="A537" s="145"/>
      <c r="B537" s="163" t="s">
        <v>1757</v>
      </c>
      <c r="C537" s="164"/>
      <c r="D537" s="368"/>
      <c r="E537" s="368"/>
      <c r="F537" s="368"/>
      <c r="G537" s="410"/>
      <c r="H537" s="411"/>
      <c r="I537" s="411"/>
      <c r="J537" s="411"/>
      <c r="K537" s="411"/>
      <c r="L537" s="411"/>
      <c r="M537" s="368"/>
      <c r="N537" s="368"/>
      <c r="O537" s="368"/>
      <c r="P537" s="368"/>
      <c r="Q537" s="368"/>
      <c r="R537" s="368"/>
      <c r="S537" s="368"/>
      <c r="T537" s="368"/>
      <c r="U537" s="368"/>
      <c r="V537" s="368"/>
      <c r="W537" s="368"/>
      <c r="X537" s="368"/>
      <c r="Y537" s="368"/>
      <c r="Z537" s="368"/>
      <c r="AA537" s="368"/>
      <c r="AB537" s="368"/>
      <c r="AC537" s="368"/>
      <c r="AD537" s="368"/>
      <c r="AE537" s="368"/>
      <c r="AF537" s="368"/>
      <c r="AG537" s="368"/>
      <c r="AH537" s="368"/>
      <c r="AI537" s="368"/>
      <c r="AJ537" s="368"/>
      <c r="AK537" s="368"/>
      <c r="AL537" s="368"/>
      <c r="AM537" s="368"/>
      <c r="AN537" s="368"/>
      <c r="AO537" s="368"/>
      <c r="AP537" s="368"/>
      <c r="AQ537" s="368"/>
      <c r="AR537" s="368"/>
      <c r="AS537" s="368"/>
      <c r="AT537" s="368"/>
      <c r="AU537" s="368"/>
      <c r="AV537" s="368"/>
      <c r="AW537" s="368"/>
      <c r="AX537" s="368"/>
      <c r="AY537" s="257"/>
      <c r="AZ537" s="178"/>
      <c r="BA537" s="368"/>
      <c r="BB537" s="368"/>
      <c r="BC537" s="165"/>
      <c r="BD537" s="165"/>
      <c r="BE537" s="165"/>
      <c r="BF537" s="165"/>
      <c r="BG537" s="165"/>
      <c r="BH537" s="368"/>
      <c r="BI537" s="412"/>
      <c r="BJ537" s="412"/>
    </row>
    <row r="538" spans="1:62" ht="57">
      <c r="A538" s="344">
        <f>SUBTOTAL(3,C$11:$C538)</f>
        <v>364</v>
      </c>
      <c r="B538" s="337" t="s">
        <v>596</v>
      </c>
      <c r="C538" s="338" t="s">
        <v>37</v>
      </c>
      <c r="D538" s="339">
        <v>1.46</v>
      </c>
      <c r="E538" s="339">
        <v>1.46</v>
      </c>
      <c r="F538" s="192"/>
      <c r="G538" s="414">
        <f t="shared" ref="G538:G547" si="76">SUM(M538:AR538)</f>
        <v>1.46</v>
      </c>
      <c r="H538" s="413" t="s">
        <v>37</v>
      </c>
      <c r="I538" s="413" t="s">
        <v>37</v>
      </c>
      <c r="J538" s="413"/>
      <c r="K538" s="413" t="str">
        <f t="shared" si="74"/>
        <v xml:space="preserve">TON, </v>
      </c>
      <c r="L538" s="413" t="str">
        <f t="shared" ref="L538:L547" si="77">IF(M538="","",$M$5&amp;":"&amp;M538&amp;";")&amp;IF(N538="","",$N$5&amp;":"&amp;N538&amp;";")&amp;IF(O538="","",$O$5&amp;":"&amp;O538&amp;";")&amp;IF(P538="","",$P$5&amp;":"&amp;P538&amp;";")&amp;IF(Q538="","",$Q$5&amp;":"&amp;Q538&amp;";")&amp;IF(R538="","",$R$5&amp;":"&amp;R538&amp;";")&amp;IF(S538="","",$S$5&amp;":"&amp;S538&amp;";")&amp;IF(T538="","",$T$5&amp;":"&amp;T538&amp;";")&amp;IF(U538="","",$U$5&amp;":"&amp;U538&amp;";")&amp;IF(V538="","",$V$5&amp;":"&amp;V538&amp;";")&amp;IF(W538="","",$W$5&amp;":"&amp;W538&amp;";")&amp;IF(X538="","",$X$5&amp;":"&amp;X538&amp;";")&amp;IF(Y538="","",$Y$5&amp;":"&amp;Y538&amp;";")&amp;IF(Z538="","",$Z$5&amp;":"&amp;Z538&amp;";")&amp;IF(AA538="","",$AA$5&amp;":"&amp;AA538&amp;";")&amp;IF(AB538="","",$AB$5&amp;":"&amp;AB538&amp;";")&amp;IF(AC538="","",$AC$5&amp;":"&amp;AC538&amp;";")&amp;IF(AD538="","",$AD$5&amp;":"&amp;AD538&amp;";")&amp;IF(AE538="","",$AE$5&amp;":"&amp;AE538&amp;";")&amp;IF(AF538="","",$AF$5&amp;":"&amp;AF538&amp;";")&amp;IF(AG538="","",$AG$5&amp;":"&amp;AG538&amp;";")&amp;IF(AH538="","",$AH$5&amp;":"&amp;AH538&amp;";")&amp;IF(AI538="","",$AI$5&amp;":"&amp;AI538&amp;";")&amp;IF(AJ538="","",$AJ$5&amp;":"&amp;AJ538&amp;";")&amp;IF(AK538="","",$AK$5&amp;":"&amp;AK538&amp;";")&amp;IF(AL538="","",$AL$5&amp;":"&amp;AL538&amp;";")&amp;IF(AM538="","",$AM$5&amp;":"&amp;AM538&amp;";")&amp;IF(AN538="","",$AN$5&amp;":"&amp;AN538&amp;";")&amp;IF(AO538="","",$AO$5&amp;":"&amp;AO538&amp;";")&amp;IF(AP538="","",$AP$5&amp;":"&amp;AP538&amp;";")&amp;IF(AQ538="","",$AQ$5&amp;":"&amp;AQ538&amp;";")&amp;IF(AR538="","",$AR$5&amp;":"&amp;AR538&amp;";")&amp;IF(AS538="","",$AS$5&amp;":"&amp;AS538&amp;";")&amp;IF(AT538="","",$AT$5&amp;":"&amp;AT538&amp;";")&amp;IF(AU538="","",$AU$5&amp;":"&amp;AU538&amp;";")</f>
        <v>TON:1,46;</v>
      </c>
      <c r="M538" s="192"/>
      <c r="N538" s="192"/>
      <c r="O538" s="192"/>
      <c r="P538" s="192"/>
      <c r="Q538" s="192"/>
      <c r="R538" s="192"/>
      <c r="S538" s="192"/>
      <c r="T538" s="192"/>
      <c r="U538" s="192"/>
      <c r="V538" s="192"/>
      <c r="W538" s="192"/>
      <c r="X538" s="192"/>
      <c r="Y538" s="192"/>
      <c r="Z538" s="192"/>
      <c r="AA538" s="192"/>
      <c r="AB538" s="192"/>
      <c r="AC538" s="192"/>
      <c r="AD538" s="192"/>
      <c r="AE538" s="192"/>
      <c r="AF538" s="192"/>
      <c r="AG538" s="192">
        <v>1.46</v>
      </c>
      <c r="AH538" s="192"/>
      <c r="AI538" s="192"/>
      <c r="AJ538" s="192"/>
      <c r="AK538" s="192"/>
      <c r="AL538" s="192"/>
      <c r="AM538" s="192"/>
      <c r="AN538" s="192"/>
      <c r="AO538" s="192"/>
      <c r="AP538" s="192"/>
      <c r="AQ538" s="192"/>
      <c r="AR538" s="192"/>
      <c r="AS538" s="192"/>
      <c r="AT538" s="192"/>
      <c r="AU538" s="192"/>
      <c r="AV538" s="338" t="s">
        <v>306</v>
      </c>
      <c r="AW538" s="338" t="s">
        <v>306</v>
      </c>
      <c r="AX538" s="196" t="s">
        <v>597</v>
      </c>
      <c r="AY538" s="266" t="s">
        <v>597</v>
      </c>
      <c r="AZ538" s="197" t="s">
        <v>1315</v>
      </c>
      <c r="BA538" s="196"/>
      <c r="BB538" s="196"/>
      <c r="BC538" s="198" t="s">
        <v>270</v>
      </c>
      <c r="BD538" s="198"/>
      <c r="BE538" s="198"/>
      <c r="BF538" s="198"/>
      <c r="BG538" s="198" t="s">
        <v>263</v>
      </c>
      <c r="BH538" s="196"/>
    </row>
    <row r="539" spans="1:62" ht="42" customHeight="1">
      <c r="A539" s="344">
        <f>SUBTOTAL(3,C$11:$C539)</f>
        <v>365</v>
      </c>
      <c r="B539" s="337" t="s">
        <v>602</v>
      </c>
      <c r="C539" s="338" t="s">
        <v>37</v>
      </c>
      <c r="D539" s="339">
        <v>0.3</v>
      </c>
      <c r="E539" s="339">
        <v>0.3</v>
      </c>
      <c r="F539" s="339"/>
      <c r="G539" s="414">
        <f t="shared" si="76"/>
        <v>0.3</v>
      </c>
      <c r="H539" s="413" t="s">
        <v>37</v>
      </c>
      <c r="I539" s="413" t="s">
        <v>37</v>
      </c>
      <c r="J539" s="413"/>
      <c r="K539" s="413" t="str">
        <f t="shared" si="74"/>
        <v xml:space="preserve">TON, </v>
      </c>
      <c r="L539" s="413" t="str">
        <f t="shared" si="77"/>
        <v>TON:0,3;</v>
      </c>
      <c r="M539" s="339"/>
      <c r="N539" s="339"/>
      <c r="O539" s="339"/>
      <c r="P539" s="339"/>
      <c r="Q539" s="339"/>
      <c r="R539" s="339"/>
      <c r="S539" s="339"/>
      <c r="T539" s="339"/>
      <c r="U539" s="339"/>
      <c r="V539" s="339"/>
      <c r="W539" s="339"/>
      <c r="X539" s="339"/>
      <c r="Y539" s="339"/>
      <c r="Z539" s="339"/>
      <c r="AA539" s="339"/>
      <c r="AB539" s="339"/>
      <c r="AC539" s="339"/>
      <c r="AD539" s="339"/>
      <c r="AE539" s="339"/>
      <c r="AF539" s="339"/>
      <c r="AG539" s="339">
        <v>0.3</v>
      </c>
      <c r="AH539" s="339"/>
      <c r="AI539" s="339"/>
      <c r="AJ539" s="339"/>
      <c r="AK539" s="339"/>
      <c r="AL539" s="339"/>
      <c r="AM539" s="339"/>
      <c r="AN539" s="339"/>
      <c r="AO539" s="339"/>
      <c r="AP539" s="339"/>
      <c r="AQ539" s="339"/>
      <c r="AR539" s="339"/>
      <c r="AS539" s="339"/>
      <c r="AT539" s="339"/>
      <c r="AU539" s="339"/>
      <c r="AV539" s="338" t="s">
        <v>309</v>
      </c>
      <c r="AW539" s="338" t="s">
        <v>309</v>
      </c>
      <c r="AX539" s="432" t="s">
        <v>603</v>
      </c>
      <c r="AY539" s="433" t="s">
        <v>603</v>
      </c>
      <c r="AZ539" s="434" t="s">
        <v>1318</v>
      </c>
      <c r="BA539" s="432"/>
      <c r="BB539" s="432"/>
      <c r="BC539" s="478" t="s">
        <v>316</v>
      </c>
      <c r="BD539" s="478"/>
      <c r="BE539" s="478"/>
      <c r="BF539" s="478" t="s">
        <v>263</v>
      </c>
      <c r="BG539" s="478"/>
      <c r="BH539" s="432"/>
    </row>
    <row r="540" spans="1:62" ht="42" customHeight="1">
      <c r="A540" s="344">
        <f>SUBTOTAL(3,C$11:$C540)</f>
        <v>366</v>
      </c>
      <c r="B540" s="360" t="s">
        <v>606</v>
      </c>
      <c r="C540" s="338" t="s">
        <v>37</v>
      </c>
      <c r="D540" s="361">
        <v>7.0000000000000007E-2</v>
      </c>
      <c r="E540" s="366">
        <v>7.0000000000000007E-2</v>
      </c>
      <c r="F540" s="366"/>
      <c r="G540" s="414">
        <f t="shared" si="76"/>
        <v>7.0000000000000007E-2</v>
      </c>
      <c r="H540" s="413" t="s">
        <v>37</v>
      </c>
      <c r="I540" s="413" t="s">
        <v>37</v>
      </c>
      <c r="J540" s="413"/>
      <c r="K540" s="413" t="str">
        <f t="shared" si="74"/>
        <v xml:space="preserve">TON, </v>
      </c>
      <c r="L540" s="413" t="str">
        <f t="shared" si="77"/>
        <v>TON:0,07;</v>
      </c>
      <c r="M540" s="366"/>
      <c r="N540" s="366"/>
      <c r="O540" s="366"/>
      <c r="P540" s="366"/>
      <c r="Q540" s="366"/>
      <c r="R540" s="366"/>
      <c r="S540" s="366"/>
      <c r="T540" s="366"/>
      <c r="U540" s="366"/>
      <c r="V540" s="366"/>
      <c r="W540" s="366"/>
      <c r="X540" s="366"/>
      <c r="Y540" s="366"/>
      <c r="Z540" s="366"/>
      <c r="AA540" s="366"/>
      <c r="AB540" s="366"/>
      <c r="AC540" s="366"/>
      <c r="AD540" s="366"/>
      <c r="AE540" s="366"/>
      <c r="AF540" s="366"/>
      <c r="AG540" s="366">
        <v>7.0000000000000007E-2</v>
      </c>
      <c r="AH540" s="366"/>
      <c r="AI540" s="366"/>
      <c r="AJ540" s="366"/>
      <c r="AK540" s="366"/>
      <c r="AL540" s="366"/>
      <c r="AM540" s="366"/>
      <c r="AN540" s="366"/>
      <c r="AO540" s="366"/>
      <c r="AP540" s="366"/>
      <c r="AQ540" s="366"/>
      <c r="AR540" s="366"/>
      <c r="AS540" s="366"/>
      <c r="AT540" s="366"/>
      <c r="AU540" s="366"/>
      <c r="AV540" s="338" t="s">
        <v>309</v>
      </c>
      <c r="AW540" s="338" t="s">
        <v>309</v>
      </c>
      <c r="AX540" s="351" t="s">
        <v>607</v>
      </c>
      <c r="AY540" s="260" t="s">
        <v>607</v>
      </c>
      <c r="AZ540" s="181" t="s">
        <v>1320</v>
      </c>
      <c r="BA540" s="351"/>
      <c r="BB540" s="351"/>
      <c r="BC540" s="478" t="s">
        <v>316</v>
      </c>
      <c r="BD540" s="478"/>
      <c r="BE540" s="478"/>
      <c r="BF540" s="478" t="s">
        <v>263</v>
      </c>
      <c r="BG540" s="478"/>
      <c r="BH540" s="351"/>
    </row>
    <row r="541" spans="1:62" ht="42" customHeight="1">
      <c r="A541" s="344">
        <f>SUBTOTAL(3,C$11:$C541)</f>
        <v>367</v>
      </c>
      <c r="B541" s="337" t="s">
        <v>608</v>
      </c>
      <c r="C541" s="338" t="s">
        <v>37</v>
      </c>
      <c r="D541" s="339">
        <v>6.5699999999999995E-2</v>
      </c>
      <c r="E541" s="339">
        <v>6.5699999999999995E-2</v>
      </c>
      <c r="F541" s="339"/>
      <c r="G541" s="414">
        <f t="shared" si="76"/>
        <v>6.5699999999999995E-2</v>
      </c>
      <c r="H541" s="413" t="s">
        <v>37</v>
      </c>
      <c r="I541" s="413" t="s">
        <v>37</v>
      </c>
      <c r="J541" s="413"/>
      <c r="K541" s="413" t="str">
        <f t="shared" si="74"/>
        <v xml:space="preserve">TON, </v>
      </c>
      <c r="L541" s="413" t="str">
        <f t="shared" si="77"/>
        <v>TON:0,0657;</v>
      </c>
      <c r="M541" s="339"/>
      <c r="N541" s="339"/>
      <c r="O541" s="339"/>
      <c r="P541" s="339"/>
      <c r="Q541" s="339"/>
      <c r="R541" s="339"/>
      <c r="S541" s="339"/>
      <c r="T541" s="339"/>
      <c r="U541" s="339"/>
      <c r="V541" s="339"/>
      <c r="W541" s="339"/>
      <c r="X541" s="339"/>
      <c r="Y541" s="339"/>
      <c r="Z541" s="339"/>
      <c r="AA541" s="339"/>
      <c r="AB541" s="339"/>
      <c r="AC541" s="339"/>
      <c r="AD541" s="339"/>
      <c r="AE541" s="339"/>
      <c r="AF541" s="339"/>
      <c r="AG541" s="339">
        <v>6.5699999999999995E-2</v>
      </c>
      <c r="AH541" s="339"/>
      <c r="AI541" s="339"/>
      <c r="AJ541" s="339"/>
      <c r="AK541" s="339"/>
      <c r="AL541" s="339"/>
      <c r="AM541" s="339"/>
      <c r="AN541" s="339"/>
      <c r="AO541" s="339"/>
      <c r="AP541" s="339"/>
      <c r="AQ541" s="339"/>
      <c r="AR541" s="339"/>
      <c r="AS541" s="339"/>
      <c r="AT541" s="339"/>
      <c r="AU541" s="339"/>
      <c r="AV541" s="338" t="s">
        <v>277</v>
      </c>
      <c r="AW541" s="338" t="s">
        <v>277</v>
      </c>
      <c r="AX541" s="432" t="s">
        <v>609</v>
      </c>
      <c r="AY541" s="433" t="s">
        <v>609</v>
      </c>
      <c r="AZ541" s="434" t="s">
        <v>1321</v>
      </c>
      <c r="BA541" s="432"/>
      <c r="BB541" s="432"/>
      <c r="BC541" s="478" t="s">
        <v>316</v>
      </c>
      <c r="BD541" s="478"/>
      <c r="BE541" s="478"/>
      <c r="BF541" s="478" t="s">
        <v>263</v>
      </c>
      <c r="BG541" s="478"/>
      <c r="BH541" s="432"/>
    </row>
    <row r="542" spans="1:62" ht="42" customHeight="1">
      <c r="A542" s="344">
        <f>SUBTOTAL(3,C$11:$C542)</f>
        <v>368</v>
      </c>
      <c r="B542" s="199" t="s">
        <v>610</v>
      </c>
      <c r="C542" s="338" t="s">
        <v>37</v>
      </c>
      <c r="D542" s="339">
        <v>0.05</v>
      </c>
      <c r="E542" s="339">
        <v>0.05</v>
      </c>
      <c r="F542" s="339"/>
      <c r="G542" s="414">
        <f t="shared" si="76"/>
        <v>0.05</v>
      </c>
      <c r="H542" s="413" t="s">
        <v>37</v>
      </c>
      <c r="I542" s="413" t="s">
        <v>37</v>
      </c>
      <c r="J542" s="413"/>
      <c r="K542" s="413" t="str">
        <f t="shared" si="74"/>
        <v xml:space="preserve">TON, </v>
      </c>
      <c r="L542" s="413" t="str">
        <f t="shared" si="77"/>
        <v>TON:0,05;</v>
      </c>
      <c r="M542" s="339"/>
      <c r="N542" s="339"/>
      <c r="O542" s="339"/>
      <c r="P542" s="339"/>
      <c r="Q542" s="339"/>
      <c r="R542" s="339"/>
      <c r="S542" s="339"/>
      <c r="T542" s="339"/>
      <c r="U542" s="339"/>
      <c r="V542" s="339"/>
      <c r="W542" s="339"/>
      <c r="X542" s="339"/>
      <c r="Y542" s="339"/>
      <c r="Z542" s="339"/>
      <c r="AA542" s="339"/>
      <c r="AB542" s="339"/>
      <c r="AC542" s="339"/>
      <c r="AD542" s="339"/>
      <c r="AE542" s="339"/>
      <c r="AF542" s="339"/>
      <c r="AG542" s="339">
        <v>0.05</v>
      </c>
      <c r="AH542" s="339"/>
      <c r="AI542" s="339"/>
      <c r="AJ542" s="339"/>
      <c r="AK542" s="339"/>
      <c r="AL542" s="339"/>
      <c r="AM542" s="339"/>
      <c r="AN542" s="339"/>
      <c r="AO542" s="339"/>
      <c r="AP542" s="339"/>
      <c r="AQ542" s="339"/>
      <c r="AR542" s="339"/>
      <c r="AS542" s="339"/>
      <c r="AT542" s="339"/>
      <c r="AU542" s="339"/>
      <c r="AV542" s="338" t="s">
        <v>277</v>
      </c>
      <c r="AW542" s="338" t="s">
        <v>277</v>
      </c>
      <c r="AX542" s="432" t="s">
        <v>611</v>
      </c>
      <c r="AY542" s="433" t="s">
        <v>611</v>
      </c>
      <c r="AZ542" s="434" t="s">
        <v>1322</v>
      </c>
      <c r="BA542" s="432"/>
      <c r="BB542" s="432"/>
      <c r="BC542" s="478" t="s">
        <v>316</v>
      </c>
      <c r="BD542" s="478"/>
      <c r="BE542" s="478"/>
      <c r="BF542" s="478"/>
      <c r="BG542" s="478" t="s">
        <v>263</v>
      </c>
      <c r="BH542" s="432"/>
    </row>
    <row r="543" spans="1:62" ht="42" customHeight="1">
      <c r="A543" s="344">
        <f>SUBTOTAL(3,C$11:$C543)</f>
        <v>369</v>
      </c>
      <c r="B543" s="337" t="s">
        <v>612</v>
      </c>
      <c r="C543" s="338" t="s">
        <v>37</v>
      </c>
      <c r="D543" s="339">
        <v>0.43</v>
      </c>
      <c r="E543" s="339">
        <v>0.43</v>
      </c>
      <c r="F543" s="339"/>
      <c r="G543" s="414">
        <f t="shared" si="76"/>
        <v>0.43</v>
      </c>
      <c r="H543" s="413" t="s">
        <v>37</v>
      </c>
      <c r="I543" s="413" t="s">
        <v>37</v>
      </c>
      <c r="J543" s="413"/>
      <c r="K543" s="413" t="str">
        <f t="shared" si="74"/>
        <v xml:space="preserve">TON, </v>
      </c>
      <c r="L543" s="413" t="str">
        <f t="shared" si="77"/>
        <v>TON:0,43;</v>
      </c>
      <c r="M543" s="339"/>
      <c r="N543" s="339"/>
      <c r="O543" s="339"/>
      <c r="P543" s="339"/>
      <c r="Q543" s="339"/>
      <c r="R543" s="339"/>
      <c r="S543" s="339"/>
      <c r="T543" s="339"/>
      <c r="U543" s="339"/>
      <c r="V543" s="339"/>
      <c r="W543" s="339"/>
      <c r="X543" s="339"/>
      <c r="Y543" s="339"/>
      <c r="Z543" s="339"/>
      <c r="AA543" s="339"/>
      <c r="AB543" s="339"/>
      <c r="AC543" s="339"/>
      <c r="AD543" s="339"/>
      <c r="AE543" s="339"/>
      <c r="AF543" s="339"/>
      <c r="AG543" s="339">
        <v>0.43</v>
      </c>
      <c r="AH543" s="339"/>
      <c r="AI543" s="339"/>
      <c r="AJ543" s="339"/>
      <c r="AK543" s="339"/>
      <c r="AL543" s="339"/>
      <c r="AM543" s="339"/>
      <c r="AN543" s="339"/>
      <c r="AO543" s="339"/>
      <c r="AP543" s="339"/>
      <c r="AQ543" s="339"/>
      <c r="AR543" s="339"/>
      <c r="AS543" s="339"/>
      <c r="AT543" s="339"/>
      <c r="AU543" s="339"/>
      <c r="AV543" s="338" t="s">
        <v>277</v>
      </c>
      <c r="AW543" s="338" t="s">
        <v>277</v>
      </c>
      <c r="AX543" s="432" t="s">
        <v>613</v>
      </c>
      <c r="AY543" s="433" t="s">
        <v>613</v>
      </c>
      <c r="AZ543" s="434" t="s">
        <v>1323</v>
      </c>
      <c r="BA543" s="432"/>
      <c r="BB543" s="432"/>
      <c r="BC543" s="478" t="s">
        <v>316</v>
      </c>
      <c r="BD543" s="478"/>
      <c r="BE543" s="478"/>
      <c r="BF543" s="478" t="s">
        <v>263</v>
      </c>
      <c r="BG543" s="478"/>
      <c r="BH543" s="432"/>
    </row>
    <row r="544" spans="1:62" ht="42" customHeight="1">
      <c r="A544" s="344">
        <f>SUBTOTAL(3,C$11:$C544)</f>
        <v>370</v>
      </c>
      <c r="B544" s="199" t="s">
        <v>614</v>
      </c>
      <c r="C544" s="338" t="s">
        <v>37</v>
      </c>
      <c r="D544" s="361">
        <v>0.3</v>
      </c>
      <c r="E544" s="366">
        <v>0.3</v>
      </c>
      <c r="F544" s="366"/>
      <c r="G544" s="414">
        <f t="shared" si="76"/>
        <v>0.3</v>
      </c>
      <c r="H544" s="413" t="s">
        <v>37</v>
      </c>
      <c r="I544" s="413" t="s">
        <v>37</v>
      </c>
      <c r="J544" s="413"/>
      <c r="K544" s="413" t="str">
        <f t="shared" si="74"/>
        <v xml:space="preserve">TON, </v>
      </c>
      <c r="L544" s="413" t="str">
        <f t="shared" si="77"/>
        <v>TON:0,3;</v>
      </c>
      <c r="M544" s="366"/>
      <c r="N544" s="366"/>
      <c r="O544" s="366"/>
      <c r="P544" s="366"/>
      <c r="Q544" s="366"/>
      <c r="R544" s="366"/>
      <c r="S544" s="366"/>
      <c r="T544" s="366"/>
      <c r="U544" s="366"/>
      <c r="V544" s="366"/>
      <c r="W544" s="366"/>
      <c r="X544" s="366"/>
      <c r="Y544" s="366"/>
      <c r="Z544" s="366"/>
      <c r="AA544" s="366"/>
      <c r="AB544" s="366"/>
      <c r="AC544" s="366"/>
      <c r="AD544" s="366"/>
      <c r="AE544" s="366"/>
      <c r="AF544" s="366"/>
      <c r="AG544" s="366">
        <v>0.3</v>
      </c>
      <c r="AH544" s="366"/>
      <c r="AI544" s="366"/>
      <c r="AJ544" s="366"/>
      <c r="AK544" s="366"/>
      <c r="AL544" s="366"/>
      <c r="AM544" s="366"/>
      <c r="AN544" s="366"/>
      <c r="AO544" s="366"/>
      <c r="AP544" s="366"/>
      <c r="AQ544" s="366"/>
      <c r="AR544" s="366"/>
      <c r="AS544" s="366"/>
      <c r="AT544" s="366"/>
      <c r="AU544" s="366"/>
      <c r="AV544" s="338" t="s">
        <v>295</v>
      </c>
      <c r="AW544" s="338" t="s">
        <v>295</v>
      </c>
      <c r="AX544" s="351" t="s">
        <v>615</v>
      </c>
      <c r="AY544" s="260" t="s">
        <v>615</v>
      </c>
      <c r="AZ544" s="181" t="s">
        <v>1324</v>
      </c>
      <c r="BA544" s="351"/>
      <c r="BB544" s="351"/>
      <c r="BC544" s="478" t="s">
        <v>316</v>
      </c>
      <c r="BD544" s="478"/>
      <c r="BE544" s="478"/>
      <c r="BF544" s="478" t="s">
        <v>263</v>
      </c>
      <c r="BG544" s="478"/>
      <c r="BH544" s="351"/>
    </row>
    <row r="545" spans="1:62" ht="42" customHeight="1">
      <c r="A545" s="344">
        <f>SUBTOTAL(3,C$11:$C545)</f>
        <v>371</v>
      </c>
      <c r="B545" s="360" t="s">
        <v>616</v>
      </c>
      <c r="C545" s="338" t="s">
        <v>37</v>
      </c>
      <c r="D545" s="361">
        <v>0.43</v>
      </c>
      <c r="E545" s="366">
        <v>0.43</v>
      </c>
      <c r="F545" s="192"/>
      <c r="G545" s="414">
        <f t="shared" si="76"/>
        <v>0.43</v>
      </c>
      <c r="H545" s="413" t="s">
        <v>37</v>
      </c>
      <c r="I545" s="413" t="s">
        <v>37</v>
      </c>
      <c r="J545" s="413"/>
      <c r="K545" s="413" t="str">
        <f t="shared" si="74"/>
        <v xml:space="preserve">TON, </v>
      </c>
      <c r="L545" s="413" t="str">
        <f t="shared" si="77"/>
        <v>TON:0,43;</v>
      </c>
      <c r="M545" s="192"/>
      <c r="N545" s="192"/>
      <c r="O545" s="192"/>
      <c r="P545" s="192"/>
      <c r="Q545" s="192"/>
      <c r="R545" s="192"/>
      <c r="S545" s="192"/>
      <c r="T545" s="192"/>
      <c r="U545" s="192"/>
      <c r="V545" s="192"/>
      <c r="W545" s="192"/>
      <c r="X545" s="192"/>
      <c r="Y545" s="192"/>
      <c r="Z545" s="192"/>
      <c r="AA545" s="192"/>
      <c r="AB545" s="192"/>
      <c r="AC545" s="192"/>
      <c r="AD545" s="192"/>
      <c r="AE545" s="192"/>
      <c r="AF545" s="192"/>
      <c r="AG545" s="192">
        <v>0.43</v>
      </c>
      <c r="AH545" s="192"/>
      <c r="AI545" s="192"/>
      <c r="AJ545" s="192"/>
      <c r="AK545" s="192"/>
      <c r="AL545" s="192"/>
      <c r="AM545" s="192"/>
      <c r="AN545" s="192"/>
      <c r="AO545" s="192"/>
      <c r="AP545" s="192"/>
      <c r="AQ545" s="192"/>
      <c r="AR545" s="192"/>
      <c r="AS545" s="192"/>
      <c r="AT545" s="192"/>
      <c r="AU545" s="192"/>
      <c r="AV545" s="338" t="s">
        <v>266</v>
      </c>
      <c r="AW545" s="338" t="s">
        <v>266</v>
      </c>
      <c r="AX545" s="351" t="s">
        <v>617</v>
      </c>
      <c r="AY545" s="260" t="s">
        <v>617</v>
      </c>
      <c r="AZ545" s="181" t="s">
        <v>1325</v>
      </c>
      <c r="BA545" s="351"/>
      <c r="BB545" s="351"/>
      <c r="BC545" s="478" t="s">
        <v>316</v>
      </c>
      <c r="BD545" s="478"/>
      <c r="BE545" s="478"/>
      <c r="BF545" s="478" t="s">
        <v>263</v>
      </c>
      <c r="BG545" s="478"/>
      <c r="BH545" s="351"/>
    </row>
    <row r="546" spans="1:62" ht="42" customHeight="1">
      <c r="A546" s="344">
        <f>SUBTOTAL(3,C$11:$C546)</f>
        <v>372</v>
      </c>
      <c r="B546" s="360" t="s">
        <v>618</v>
      </c>
      <c r="C546" s="338" t="s">
        <v>37</v>
      </c>
      <c r="D546" s="361">
        <v>0.04</v>
      </c>
      <c r="E546" s="366">
        <v>0.04</v>
      </c>
      <c r="F546" s="192"/>
      <c r="G546" s="414">
        <f t="shared" si="76"/>
        <v>0.04</v>
      </c>
      <c r="H546" s="413" t="s">
        <v>37</v>
      </c>
      <c r="I546" s="413" t="s">
        <v>37</v>
      </c>
      <c r="J546" s="413"/>
      <c r="K546" s="413" t="str">
        <f t="shared" si="74"/>
        <v xml:space="preserve">TON, </v>
      </c>
      <c r="L546" s="413" t="str">
        <f t="shared" si="77"/>
        <v>TON:0,04;</v>
      </c>
      <c r="M546" s="192"/>
      <c r="N546" s="192"/>
      <c r="O546" s="192"/>
      <c r="P546" s="192"/>
      <c r="Q546" s="192"/>
      <c r="R546" s="192"/>
      <c r="S546" s="192"/>
      <c r="T546" s="192"/>
      <c r="U546" s="192"/>
      <c r="V546" s="192"/>
      <c r="W546" s="192"/>
      <c r="X546" s="192"/>
      <c r="Y546" s="192"/>
      <c r="Z546" s="192"/>
      <c r="AA546" s="192"/>
      <c r="AB546" s="192"/>
      <c r="AC546" s="192"/>
      <c r="AD546" s="192"/>
      <c r="AE546" s="192"/>
      <c r="AF546" s="192"/>
      <c r="AG546" s="192">
        <v>0.04</v>
      </c>
      <c r="AH546" s="192"/>
      <c r="AI546" s="192"/>
      <c r="AJ546" s="192"/>
      <c r="AK546" s="192"/>
      <c r="AL546" s="192"/>
      <c r="AM546" s="192"/>
      <c r="AN546" s="192"/>
      <c r="AO546" s="192"/>
      <c r="AP546" s="192"/>
      <c r="AQ546" s="192"/>
      <c r="AR546" s="192"/>
      <c r="AS546" s="192"/>
      <c r="AT546" s="192"/>
      <c r="AU546" s="192"/>
      <c r="AV546" s="338" t="s">
        <v>283</v>
      </c>
      <c r="AW546" s="338" t="s">
        <v>283</v>
      </c>
      <c r="AX546" s="351" t="s">
        <v>619</v>
      </c>
      <c r="AY546" s="260" t="s">
        <v>619</v>
      </c>
      <c r="AZ546" s="181" t="s">
        <v>1326</v>
      </c>
      <c r="BA546" s="351"/>
      <c r="BB546" s="351"/>
      <c r="BC546" s="478" t="s">
        <v>316</v>
      </c>
      <c r="BD546" s="478"/>
      <c r="BE546" s="478"/>
      <c r="BF546" s="478" t="s">
        <v>263</v>
      </c>
      <c r="BG546" s="478"/>
      <c r="BH546" s="351"/>
    </row>
    <row r="547" spans="1:62" ht="42" customHeight="1">
      <c r="A547" s="344">
        <f>SUBTOTAL(3,C$11:$C547)</f>
        <v>373</v>
      </c>
      <c r="B547" s="360" t="s">
        <v>620</v>
      </c>
      <c r="C547" s="338" t="s">
        <v>37</v>
      </c>
      <c r="D547" s="361">
        <v>0.32</v>
      </c>
      <c r="E547" s="361">
        <v>0.32</v>
      </c>
      <c r="F547" s="366"/>
      <c r="G547" s="414">
        <f t="shared" si="76"/>
        <v>0.32</v>
      </c>
      <c r="H547" s="413" t="s">
        <v>37</v>
      </c>
      <c r="I547" s="413" t="s">
        <v>37</v>
      </c>
      <c r="J547" s="413"/>
      <c r="K547" s="413" t="str">
        <f t="shared" si="74"/>
        <v xml:space="preserve">TON, </v>
      </c>
      <c r="L547" s="413" t="str">
        <f t="shared" si="77"/>
        <v>TON:0,32;</v>
      </c>
      <c r="M547" s="366"/>
      <c r="N547" s="366"/>
      <c r="O547" s="366"/>
      <c r="P547" s="366"/>
      <c r="Q547" s="366"/>
      <c r="R547" s="366"/>
      <c r="S547" s="366"/>
      <c r="T547" s="366"/>
      <c r="U547" s="366"/>
      <c r="V547" s="366"/>
      <c r="W547" s="366"/>
      <c r="X547" s="366"/>
      <c r="Y547" s="366"/>
      <c r="Z547" s="366"/>
      <c r="AA547" s="366"/>
      <c r="AB547" s="366"/>
      <c r="AC547" s="366"/>
      <c r="AD547" s="366"/>
      <c r="AE547" s="366"/>
      <c r="AF547" s="366"/>
      <c r="AG547" s="366">
        <v>0.32</v>
      </c>
      <c r="AH547" s="366"/>
      <c r="AI547" s="366"/>
      <c r="AJ547" s="366"/>
      <c r="AK547" s="366"/>
      <c r="AL547" s="366"/>
      <c r="AM547" s="366"/>
      <c r="AN547" s="366"/>
      <c r="AO547" s="366"/>
      <c r="AP547" s="366"/>
      <c r="AQ547" s="366"/>
      <c r="AR547" s="366"/>
      <c r="AS547" s="366"/>
      <c r="AT547" s="366"/>
      <c r="AU547" s="366"/>
      <c r="AV547" s="338" t="s">
        <v>283</v>
      </c>
      <c r="AW547" s="338" t="s">
        <v>283</v>
      </c>
      <c r="AX547" s="351" t="s">
        <v>621</v>
      </c>
      <c r="AY547" s="260" t="s">
        <v>621</v>
      </c>
      <c r="AZ547" s="181" t="s">
        <v>1327</v>
      </c>
      <c r="BA547" s="351"/>
      <c r="BB547" s="351"/>
      <c r="BC547" s="478" t="s">
        <v>316</v>
      </c>
      <c r="BD547" s="478"/>
      <c r="BE547" s="478"/>
      <c r="BF547" s="478" t="s">
        <v>263</v>
      </c>
      <c r="BG547" s="478"/>
      <c r="BH547" s="351"/>
    </row>
    <row r="548" spans="1:62" ht="43.5" customHeight="1">
      <c r="A548" s="344">
        <f>SUBTOTAL(3,C$11:$C548)</f>
        <v>374</v>
      </c>
      <c r="B548" s="337" t="s">
        <v>1331</v>
      </c>
      <c r="C548" s="338" t="s">
        <v>37</v>
      </c>
      <c r="D548" s="351">
        <v>0.45</v>
      </c>
      <c r="E548" s="351">
        <v>0.45</v>
      </c>
      <c r="F548" s="351"/>
      <c r="G548" s="414"/>
      <c r="H548" s="413" t="s">
        <v>37</v>
      </c>
      <c r="I548" s="413"/>
      <c r="J548" s="413"/>
      <c r="K548" s="413"/>
      <c r="L548" s="413"/>
      <c r="M548" s="351"/>
      <c r="N548" s="351"/>
      <c r="O548" s="351"/>
      <c r="P548" s="351"/>
      <c r="Q548" s="351"/>
      <c r="R548" s="351"/>
      <c r="S548" s="351"/>
      <c r="T548" s="351"/>
      <c r="U548" s="351"/>
      <c r="V548" s="351"/>
      <c r="W548" s="351"/>
      <c r="X548" s="351"/>
      <c r="Y548" s="351"/>
      <c r="Z548" s="351"/>
      <c r="AA548" s="351"/>
      <c r="AB548" s="351"/>
      <c r="AC548" s="351"/>
      <c r="AD548" s="351"/>
      <c r="AE548" s="351"/>
      <c r="AF548" s="351"/>
      <c r="AG548" s="351"/>
      <c r="AH548" s="351"/>
      <c r="AI548" s="351"/>
      <c r="AJ548" s="351"/>
      <c r="AK548" s="351"/>
      <c r="AL548" s="351"/>
      <c r="AM548" s="351"/>
      <c r="AN548" s="351"/>
      <c r="AO548" s="351"/>
      <c r="AP548" s="351"/>
      <c r="AQ548" s="351"/>
      <c r="AR548" s="351"/>
      <c r="AS548" s="351"/>
      <c r="AT548" s="351"/>
      <c r="AU548" s="351"/>
      <c r="AV548" s="338" t="s">
        <v>217</v>
      </c>
      <c r="AW548" s="338" t="s">
        <v>217</v>
      </c>
      <c r="AX548" s="351" t="s">
        <v>1332</v>
      </c>
      <c r="AY548" s="260" t="s">
        <v>1332</v>
      </c>
      <c r="AZ548" s="181" t="s">
        <v>1333</v>
      </c>
      <c r="BA548" s="351"/>
      <c r="BB548" s="351"/>
      <c r="BC548" s="181"/>
      <c r="BD548" s="181"/>
      <c r="BE548" s="181"/>
      <c r="BF548" s="181"/>
      <c r="BG548" s="181"/>
      <c r="BH548" s="351"/>
    </row>
    <row r="549" spans="1:62" ht="30" customHeight="1">
      <c r="A549" s="172" t="s">
        <v>980</v>
      </c>
      <c r="B549" s="159" t="s">
        <v>205</v>
      </c>
      <c r="C549" s="158"/>
      <c r="D549" s="351"/>
      <c r="E549" s="351"/>
      <c r="F549" s="361"/>
      <c r="G549" s="414"/>
      <c r="H549" s="413"/>
      <c r="I549" s="413"/>
      <c r="J549" s="413"/>
      <c r="K549" s="413" t="str">
        <f>IF(M549&lt;&gt;0,$M$5&amp;", ","")&amp;IF(N549&lt;&gt;0,$N$5&amp;", ","")&amp;IF(O549&lt;&gt;0,O$5&amp;", ","")&amp;IF(P549&lt;&gt;0,P$5&amp;", ","")&amp;IF(Q549&lt;&gt;0,Q$5&amp;", ","")&amp;IF(R549&lt;&gt;0,R$5&amp;", ","")&amp;IF(S549&lt;&gt;0,S$5&amp;", ","")&amp;IF(T549&lt;&gt;0,T$5&amp;", ","")&amp;IF(U549&lt;&gt;0,U$5&amp;", ","")&amp;IF(V549&lt;&gt;0,V$5&amp;", ","")&amp;IF(W549&lt;&gt;0,W$5&amp;", ","")&amp;IF(X549&lt;&gt;0,X$5&amp;", ","")&amp;IF(Y549&lt;&gt;0,Y$5&amp;", ","")&amp;IF(Z549&lt;&gt;0,Z$5&amp;", ","")&amp;IF(AA549&lt;&gt;0,AA$5&amp;", ","")&amp;IF(AB549&lt;&gt;0,AB$5&amp;", ","")&amp;IF(AC549&lt;&gt;0,AC$5&amp;", ","")&amp;IF(AD549&lt;&gt;0,AD$5&amp;", ","")&amp;IF(AE549&lt;&gt;0,AE$5&amp;", ","")&amp;IF(AF549&lt;&gt;0,AF$5&amp;", ","")&amp;IF(AG549&lt;&gt;0,AG$5&amp;", ","")&amp;IF(AH549&lt;&gt;0,AH$5&amp;", ","")&amp;IF(AI549&lt;&gt;0,AI$5&amp;", ","")&amp;IF(AJ549&lt;&gt;0,AJ$5&amp;", ","")&amp;IF(AK549&lt;&gt;0,AK$5&amp;", ","")&amp;IF(AL549&lt;&gt;0,AL$5&amp;", ","")&amp;IF(AM549&lt;&gt;0,AM$5&amp;", ","")&amp;IF(AN549&lt;&gt;0,AN$5&amp;", ","")&amp;IF(AO549&lt;&gt;0,AO$5&amp;", ","")&amp;IF(AP549&lt;&gt;0,AP$5&amp;", ","")&amp;IF(AQ549&lt;&gt;0,AQ$5&amp;", ","")&amp;IF(AR549&lt;&gt;0,AR$5,"")&amp;IF(AS549&lt;&gt;0,AS$5,"")&amp;IF(AT549&lt;&gt;0,AT$5,"")&amp;IF(AU549&lt;&gt;0,AU$5,"")</f>
        <v/>
      </c>
      <c r="L549" s="413" t="str">
        <f>IF(M549="","",$M$5&amp;":"&amp;M549&amp;";")&amp;IF(N549="","",$N$5&amp;":"&amp;N549&amp;";")&amp;IF(O549="","",$O$5&amp;":"&amp;O549&amp;";")&amp;IF(P549="","",$P$5&amp;":"&amp;P549&amp;";")&amp;IF(Q549="","",$Q$5&amp;":"&amp;Q549&amp;";")&amp;IF(R549="","",$R$5&amp;":"&amp;R549&amp;";")&amp;IF(S549="","",$S$5&amp;":"&amp;S549&amp;";")&amp;IF(T549="","",$T$5&amp;":"&amp;T549&amp;";")&amp;IF(U549="","",$U$5&amp;":"&amp;U549&amp;";")&amp;IF(V549="","",$V$5&amp;":"&amp;V549&amp;";")&amp;IF(W549="","",$W$5&amp;":"&amp;W549&amp;";")&amp;IF(X549="","",$X$5&amp;":"&amp;X549&amp;";")&amp;IF(Y549="","",$Y$5&amp;":"&amp;Y549&amp;";")&amp;IF(Z549="","",$Z$5&amp;":"&amp;Z549&amp;";")&amp;IF(AA549="","",$AA$5&amp;":"&amp;AA549&amp;";")&amp;IF(AB549="","",$AB$5&amp;":"&amp;AB549&amp;";")&amp;IF(AC549="","",$AC$5&amp;":"&amp;AC549&amp;";")&amp;IF(AD549="","",$AD$5&amp;":"&amp;AD549&amp;";")&amp;IF(AE549="","",$AE$5&amp;":"&amp;AE549&amp;";")&amp;IF(AF549="","",$AF$5&amp;":"&amp;AF549&amp;";")&amp;IF(AG549="","",$AG$5&amp;":"&amp;AG549&amp;";")&amp;IF(AH549="","",$AH$5&amp;":"&amp;AH549&amp;";")&amp;IF(AI549="","",$AI$5&amp;":"&amp;AI549&amp;";")&amp;IF(AJ549="","",$AJ$5&amp;":"&amp;AJ549&amp;";")&amp;IF(AK549="","",$AK$5&amp;":"&amp;AK549&amp;";")&amp;IF(AL549="","",$AL$5&amp;":"&amp;AL549&amp;";")&amp;IF(AM549="","",$AM$5&amp;":"&amp;AM549&amp;";")&amp;IF(AN549="","",$AN$5&amp;":"&amp;AN549&amp;";")&amp;IF(AO549="","",$AO$5&amp;":"&amp;AO549&amp;";")&amp;IF(AP549="","",$AP$5&amp;":"&amp;AP549&amp;";")&amp;IF(AQ549="","",$AQ$5&amp;":"&amp;AQ549&amp;";")&amp;IF(AR549="","",$AR$5&amp;":"&amp;AR549&amp;";")&amp;IF(AS549="","",$AS$5&amp;":"&amp;AS549&amp;";")&amp;IF(AT549="","",$AT$5&amp;":"&amp;AT549&amp;";")&amp;IF(AU549="","",$AU$5&amp;":"&amp;AU549&amp;";")</f>
        <v/>
      </c>
      <c r="M549" s="361"/>
      <c r="N549" s="361"/>
      <c r="O549" s="361"/>
      <c r="P549" s="361"/>
      <c r="Q549" s="361"/>
      <c r="R549" s="361"/>
      <c r="S549" s="361"/>
      <c r="T549" s="361"/>
      <c r="U549" s="361"/>
      <c r="V549" s="361"/>
      <c r="W549" s="361"/>
      <c r="X549" s="361"/>
      <c r="Y549" s="361"/>
      <c r="Z549" s="361"/>
      <c r="AA549" s="361"/>
      <c r="AB549" s="361"/>
      <c r="AC549" s="361"/>
      <c r="AD549" s="361"/>
      <c r="AE549" s="361"/>
      <c r="AF549" s="361"/>
      <c r="AG549" s="361"/>
      <c r="AH549" s="361"/>
      <c r="AI549" s="361"/>
      <c r="AJ549" s="361"/>
      <c r="AK549" s="361"/>
      <c r="AL549" s="361"/>
      <c r="AM549" s="361"/>
      <c r="AN549" s="361"/>
      <c r="AO549" s="361"/>
      <c r="AP549" s="361"/>
      <c r="AQ549" s="361"/>
      <c r="AR549" s="361"/>
      <c r="AS549" s="361"/>
      <c r="AT549" s="361"/>
      <c r="AU549" s="361"/>
      <c r="AV549" s="351"/>
      <c r="AW549" s="351"/>
      <c r="AX549" s="351"/>
      <c r="AY549" s="260"/>
      <c r="AZ549" s="181"/>
      <c r="BA549" s="351"/>
      <c r="BB549" s="351"/>
      <c r="BC549" s="156"/>
      <c r="BD549" s="156"/>
      <c r="BE549" s="156"/>
      <c r="BF549" s="156"/>
      <c r="BG549" s="156"/>
      <c r="BH549" s="351"/>
    </row>
    <row r="550" spans="1:62" s="179" customFormat="1" ht="24.65" customHeight="1">
      <c r="A550" s="145"/>
      <c r="B550" s="163" t="s">
        <v>1759</v>
      </c>
      <c r="C550" s="164"/>
      <c r="D550" s="368"/>
      <c r="E550" s="368"/>
      <c r="F550" s="368"/>
      <c r="G550" s="410"/>
      <c r="H550" s="411"/>
      <c r="I550" s="411"/>
      <c r="J550" s="411"/>
      <c r="K550" s="411"/>
      <c r="L550" s="411"/>
      <c r="M550" s="368"/>
      <c r="N550" s="368"/>
      <c r="O550" s="368"/>
      <c r="P550" s="368"/>
      <c r="Q550" s="368"/>
      <c r="R550" s="368"/>
      <c r="S550" s="368"/>
      <c r="T550" s="368"/>
      <c r="U550" s="368"/>
      <c r="V550" s="368"/>
      <c r="W550" s="368"/>
      <c r="X550" s="368"/>
      <c r="Y550" s="368"/>
      <c r="Z550" s="368"/>
      <c r="AA550" s="368"/>
      <c r="AB550" s="368"/>
      <c r="AC550" s="368"/>
      <c r="AD550" s="368"/>
      <c r="AE550" s="368"/>
      <c r="AF550" s="368"/>
      <c r="AG550" s="368"/>
      <c r="AH550" s="368"/>
      <c r="AI550" s="368"/>
      <c r="AJ550" s="368"/>
      <c r="AK550" s="368"/>
      <c r="AL550" s="368"/>
      <c r="AM550" s="368"/>
      <c r="AN550" s="368"/>
      <c r="AO550" s="368"/>
      <c r="AP550" s="368"/>
      <c r="AQ550" s="368"/>
      <c r="AR550" s="368"/>
      <c r="AS550" s="368"/>
      <c r="AT550" s="368"/>
      <c r="AU550" s="368"/>
      <c r="AV550" s="368"/>
      <c r="AW550" s="368"/>
      <c r="AX550" s="368"/>
      <c r="AY550" s="257"/>
      <c r="AZ550" s="178"/>
      <c r="BA550" s="368"/>
      <c r="BB550" s="368"/>
      <c r="BC550" s="165"/>
      <c r="BD550" s="165"/>
      <c r="BE550" s="165"/>
      <c r="BF550" s="165"/>
      <c r="BG550" s="165"/>
      <c r="BH550" s="368"/>
      <c r="BI550" s="412"/>
      <c r="BJ550" s="412"/>
    </row>
    <row r="551" spans="1:62" ht="35.15" customHeight="1">
      <c r="A551" s="344">
        <f>SUBTOTAL(3,C$11:$C551)</f>
        <v>375</v>
      </c>
      <c r="B551" s="337" t="s">
        <v>718</v>
      </c>
      <c r="C551" s="338" t="s">
        <v>101</v>
      </c>
      <c r="D551" s="192">
        <v>7.0000000000000007E-2</v>
      </c>
      <c r="E551" s="361">
        <v>7.0000000000000007E-2</v>
      </c>
      <c r="F551" s="361"/>
      <c r="G551" s="414">
        <f>SUM(M551:AR551)</f>
        <v>7.0000000000000007E-2</v>
      </c>
      <c r="H551" s="413" t="s">
        <v>101</v>
      </c>
      <c r="I551" s="413" t="s">
        <v>101</v>
      </c>
      <c r="J551" s="413"/>
      <c r="K551" s="413" t="str">
        <f>IF(M551&lt;&gt;0,$M$5&amp;", ","")&amp;IF(N551&lt;&gt;0,$N$5&amp;", ","")&amp;IF(O551&lt;&gt;0,O$5&amp;", ","")&amp;IF(P551&lt;&gt;0,P$5&amp;", ","")&amp;IF(Q551&lt;&gt;0,Q$5&amp;", ","")&amp;IF(R551&lt;&gt;0,R$5&amp;", ","")&amp;IF(S551&lt;&gt;0,S$5&amp;", ","")&amp;IF(T551&lt;&gt;0,T$5&amp;", ","")&amp;IF(U551&lt;&gt;0,U$5&amp;", ","")&amp;IF(V551&lt;&gt;0,V$5&amp;", ","")&amp;IF(W551&lt;&gt;0,W$5&amp;", ","")&amp;IF(X551&lt;&gt;0,X$5&amp;", ","")&amp;IF(Y551&lt;&gt;0,Y$5&amp;", ","")&amp;IF(Z551&lt;&gt;0,Z$5&amp;", ","")&amp;IF(AA551&lt;&gt;0,AA$5&amp;", ","")&amp;IF(AB551&lt;&gt;0,AB$5&amp;", ","")&amp;IF(AC551&lt;&gt;0,AC$5&amp;", ","")&amp;IF(AD551&lt;&gt;0,AD$5&amp;", ","")&amp;IF(AE551&lt;&gt;0,AE$5&amp;", ","")&amp;IF(AF551&lt;&gt;0,AF$5&amp;", ","")&amp;IF(AG551&lt;&gt;0,AG$5&amp;", ","")&amp;IF(AH551&lt;&gt;0,AH$5&amp;", ","")&amp;IF(AI551&lt;&gt;0,AI$5&amp;", ","")&amp;IF(AJ551&lt;&gt;0,AJ$5&amp;", ","")&amp;IF(AK551&lt;&gt;0,AK$5&amp;", ","")&amp;IF(AL551&lt;&gt;0,AL$5&amp;", ","")&amp;IF(AM551&lt;&gt;0,AM$5&amp;", ","")&amp;IF(AN551&lt;&gt;0,AN$5&amp;", ","")&amp;IF(AO551&lt;&gt;0,AO$5&amp;", ","")&amp;IF(AP551&lt;&gt;0,AP$5&amp;", ","")&amp;IF(AQ551&lt;&gt;0,AQ$5&amp;", ","")&amp;IF(AR551&lt;&gt;0,AR$5,"")&amp;IF(AS551&lt;&gt;0,AS$5,"")&amp;IF(AT551&lt;&gt;0,AT$5,"")&amp;IF(AU551&lt;&gt;0,AU$5,"")</f>
        <v xml:space="preserve">DKV, </v>
      </c>
      <c r="L551" s="413" t="str">
        <f>IF(M551="","",$M$5&amp;":"&amp;M551&amp;";")&amp;IF(N551="","",$N$5&amp;":"&amp;N551&amp;";")&amp;IF(O551="","",$O$5&amp;":"&amp;O551&amp;";")&amp;IF(P551="","",$P$5&amp;":"&amp;P551&amp;";")&amp;IF(Q551="","",$Q$5&amp;":"&amp;Q551&amp;";")&amp;IF(R551="","",$R$5&amp;":"&amp;R551&amp;";")&amp;IF(S551="","",$S$5&amp;":"&amp;S551&amp;";")&amp;IF(T551="","",$T$5&amp;":"&amp;T551&amp;";")&amp;IF(U551="","",$U$5&amp;":"&amp;U551&amp;";")&amp;IF(V551="","",$V$5&amp;":"&amp;V551&amp;";")&amp;IF(W551="","",$W$5&amp;":"&amp;W551&amp;";")&amp;IF(X551="","",$X$5&amp;":"&amp;X551&amp;";")&amp;IF(Y551="","",$Y$5&amp;":"&amp;Y551&amp;";")&amp;IF(Z551="","",$Z$5&amp;":"&amp;Z551&amp;";")&amp;IF(AA551="","",$AA$5&amp;":"&amp;AA551&amp;";")&amp;IF(AB551="","",$AB$5&amp;":"&amp;AB551&amp;";")&amp;IF(AC551="","",$AC$5&amp;":"&amp;AC551&amp;";")&amp;IF(AD551="","",$AD$5&amp;":"&amp;AD551&amp;";")&amp;IF(AE551="","",$AE$5&amp;":"&amp;AE551&amp;";")&amp;IF(AF551="","",$AF$5&amp;":"&amp;AF551&amp;";")&amp;IF(AG551="","",$AG$5&amp;":"&amp;AG551&amp;";")&amp;IF(AH551="","",$AH$5&amp;":"&amp;AH551&amp;";")&amp;IF(AI551="","",$AI$5&amp;":"&amp;AI551&amp;";")&amp;IF(AJ551="","",$AJ$5&amp;":"&amp;AJ551&amp;";")&amp;IF(AK551="","",$AK$5&amp;":"&amp;AK551&amp;";")&amp;IF(AL551="","",$AL$5&amp;":"&amp;AL551&amp;";")&amp;IF(AM551="","",$AM$5&amp;":"&amp;AM551&amp;";")&amp;IF(AN551="","",$AN$5&amp;":"&amp;AN551&amp;";")&amp;IF(AO551="","",$AO$5&amp;":"&amp;AO551&amp;";")&amp;IF(AP551="","",$AP$5&amp;":"&amp;AP551&amp;";")&amp;IF(AQ551="","",$AQ$5&amp;":"&amp;AQ551&amp;";")&amp;IF(AR551="","",$AR$5&amp;":"&amp;AR551&amp;";")&amp;IF(AS551="","",$AS$5&amp;":"&amp;AS551&amp;";")&amp;IF(AT551="","",$AT$5&amp;":"&amp;AT551&amp;";")&amp;IF(AU551="","",$AU$5&amp;":"&amp;AU551&amp;";")</f>
        <v>DKV:0,07;</v>
      </c>
      <c r="M551" s="361"/>
      <c r="N551" s="361"/>
      <c r="O551" s="361"/>
      <c r="P551" s="361"/>
      <c r="Q551" s="361"/>
      <c r="R551" s="361"/>
      <c r="S551" s="361"/>
      <c r="T551" s="361"/>
      <c r="U551" s="361"/>
      <c r="V551" s="361"/>
      <c r="W551" s="361"/>
      <c r="X551" s="361"/>
      <c r="Y551" s="361"/>
      <c r="Z551" s="361"/>
      <c r="AA551" s="361"/>
      <c r="AB551" s="361"/>
      <c r="AC551" s="361"/>
      <c r="AD551" s="361"/>
      <c r="AE551" s="361"/>
      <c r="AF551" s="361"/>
      <c r="AG551" s="361"/>
      <c r="AH551" s="361"/>
      <c r="AI551" s="361"/>
      <c r="AJ551" s="361"/>
      <c r="AK551" s="192">
        <v>7.0000000000000007E-2</v>
      </c>
      <c r="AL551" s="361"/>
      <c r="AM551" s="361"/>
      <c r="AN551" s="361"/>
      <c r="AO551" s="361"/>
      <c r="AP551" s="361"/>
      <c r="AQ551" s="361"/>
      <c r="AR551" s="361"/>
      <c r="AS551" s="361"/>
      <c r="AT551" s="361"/>
      <c r="AU551" s="361"/>
      <c r="AV551" s="338" t="s">
        <v>309</v>
      </c>
      <c r="AW551" s="338" t="s">
        <v>309</v>
      </c>
      <c r="AX551" s="350" t="s">
        <v>719</v>
      </c>
      <c r="AY551" s="356" t="s">
        <v>719</v>
      </c>
      <c r="AZ551" s="352" t="s">
        <v>1401</v>
      </c>
      <c r="BA551" s="350" t="s">
        <v>357</v>
      </c>
      <c r="BB551" s="350"/>
      <c r="BC551" s="195" t="s">
        <v>358</v>
      </c>
      <c r="BD551" s="195"/>
      <c r="BE551" s="195"/>
      <c r="BF551" s="195"/>
      <c r="BG551" s="195"/>
      <c r="BH551" s="350"/>
    </row>
    <row r="552" spans="1:62" ht="30" customHeight="1">
      <c r="A552" s="172" t="s">
        <v>981</v>
      </c>
      <c r="B552" s="159" t="s">
        <v>93</v>
      </c>
      <c r="C552" s="158"/>
      <c r="D552" s="351"/>
      <c r="E552" s="351"/>
      <c r="F552" s="361"/>
      <c r="G552" s="414"/>
      <c r="H552" s="413"/>
      <c r="I552" s="413"/>
      <c r="J552" s="413"/>
      <c r="K552" s="413" t="str">
        <f>IF(M552&lt;&gt;0,$M$5&amp;", ","")&amp;IF(N552&lt;&gt;0,$N$5&amp;", ","")&amp;IF(O552&lt;&gt;0,O$5&amp;", ","")&amp;IF(P552&lt;&gt;0,P$5&amp;", ","")&amp;IF(Q552&lt;&gt;0,Q$5&amp;", ","")&amp;IF(R552&lt;&gt;0,R$5&amp;", ","")&amp;IF(S552&lt;&gt;0,S$5&amp;", ","")&amp;IF(T552&lt;&gt;0,T$5&amp;", ","")&amp;IF(U552&lt;&gt;0,U$5&amp;", ","")&amp;IF(V552&lt;&gt;0,V$5&amp;", ","")&amp;IF(W552&lt;&gt;0,W$5&amp;", ","")&amp;IF(X552&lt;&gt;0,X$5&amp;", ","")&amp;IF(Y552&lt;&gt;0,Y$5&amp;", ","")&amp;IF(Z552&lt;&gt;0,Z$5&amp;", ","")&amp;IF(AA552&lt;&gt;0,AA$5&amp;", ","")&amp;IF(AB552&lt;&gt;0,AB$5&amp;", ","")&amp;IF(AC552&lt;&gt;0,AC$5&amp;", ","")&amp;IF(AD552&lt;&gt;0,AD$5&amp;", ","")&amp;IF(AE552&lt;&gt;0,AE$5&amp;", ","")&amp;IF(AF552&lt;&gt;0,AF$5&amp;", ","")&amp;IF(AG552&lt;&gt;0,AG$5&amp;", ","")&amp;IF(AH552&lt;&gt;0,AH$5&amp;", ","")&amp;IF(AI552&lt;&gt;0,AI$5&amp;", ","")&amp;IF(AJ552&lt;&gt;0,AJ$5&amp;", ","")&amp;IF(AK552&lt;&gt;0,AK$5&amp;", ","")&amp;IF(AL552&lt;&gt;0,AL$5&amp;", ","")&amp;IF(AM552&lt;&gt;0,AM$5&amp;", ","")&amp;IF(AN552&lt;&gt;0,AN$5&amp;", ","")&amp;IF(AO552&lt;&gt;0,AO$5&amp;", ","")&amp;IF(AP552&lt;&gt;0,AP$5&amp;", ","")&amp;IF(AQ552&lt;&gt;0,AQ$5&amp;", ","")&amp;IF(AR552&lt;&gt;0,AR$5,"")&amp;IF(AS552&lt;&gt;0,AS$5,"")&amp;IF(AT552&lt;&gt;0,AT$5,"")&amp;IF(AU552&lt;&gt;0,AU$5,"")</f>
        <v/>
      </c>
      <c r="L552" s="413" t="str">
        <f>IF(M552="","",$M$5&amp;":"&amp;M552&amp;";")&amp;IF(N552="","",$N$5&amp;":"&amp;N552&amp;";")&amp;IF(O552="","",$O$5&amp;":"&amp;O552&amp;";")&amp;IF(P552="","",$P$5&amp;":"&amp;P552&amp;";")&amp;IF(Q552="","",$Q$5&amp;":"&amp;Q552&amp;";")&amp;IF(R552="","",$R$5&amp;":"&amp;R552&amp;";")&amp;IF(S552="","",$S$5&amp;":"&amp;S552&amp;";")&amp;IF(T552="","",$T$5&amp;":"&amp;T552&amp;";")&amp;IF(U552="","",$U$5&amp;":"&amp;U552&amp;";")&amp;IF(V552="","",$V$5&amp;":"&amp;V552&amp;";")&amp;IF(W552="","",$W$5&amp;":"&amp;W552&amp;";")&amp;IF(X552="","",$X$5&amp;":"&amp;X552&amp;";")&amp;IF(Y552="","",$Y$5&amp;":"&amp;Y552&amp;";")&amp;IF(Z552="","",$Z$5&amp;":"&amp;Z552&amp;";")&amp;IF(AA552="","",$AA$5&amp;":"&amp;AA552&amp;";")&amp;IF(AB552="","",$AB$5&amp;":"&amp;AB552&amp;";")&amp;IF(AC552="","",$AC$5&amp;":"&amp;AC552&amp;";")&amp;IF(AD552="","",$AD$5&amp;":"&amp;AD552&amp;";")&amp;IF(AE552="","",$AE$5&amp;":"&amp;AE552&amp;";")&amp;IF(AF552="","",$AF$5&amp;":"&amp;AF552&amp;";")&amp;IF(AG552="","",$AG$5&amp;":"&amp;AG552&amp;";")&amp;IF(AH552="","",$AH$5&amp;":"&amp;AH552&amp;";")&amp;IF(AI552="","",$AI$5&amp;":"&amp;AI552&amp;";")&amp;IF(AJ552="","",$AJ$5&amp;":"&amp;AJ552&amp;";")&amp;IF(AK552="","",$AK$5&amp;":"&amp;AK552&amp;";")&amp;IF(AL552="","",$AL$5&amp;":"&amp;AL552&amp;";")&amp;IF(AM552="","",$AM$5&amp;":"&amp;AM552&amp;";")&amp;IF(AN552="","",$AN$5&amp;":"&amp;AN552&amp;";")&amp;IF(AO552="","",$AO$5&amp;":"&amp;AO552&amp;";")&amp;IF(AP552="","",$AP$5&amp;":"&amp;AP552&amp;";")&amp;IF(AQ552="","",$AQ$5&amp;":"&amp;AQ552&amp;";")&amp;IF(AR552="","",$AR$5&amp;":"&amp;AR552&amp;";")&amp;IF(AS552="","",$AS$5&amp;":"&amp;AS552&amp;";")&amp;IF(AT552="","",$AT$5&amp;":"&amp;AT552&amp;";")&amp;IF(AU552="","",$AU$5&amp;":"&amp;AU552&amp;";")</f>
        <v/>
      </c>
      <c r="M552" s="361"/>
      <c r="N552" s="361"/>
      <c r="O552" s="361"/>
      <c r="P552" s="361"/>
      <c r="Q552" s="361"/>
      <c r="R552" s="361"/>
      <c r="S552" s="361"/>
      <c r="T552" s="361"/>
      <c r="U552" s="361"/>
      <c r="V552" s="361"/>
      <c r="W552" s="361"/>
      <c r="X552" s="361"/>
      <c r="Y552" s="361"/>
      <c r="Z552" s="361"/>
      <c r="AA552" s="361"/>
      <c r="AB552" s="361"/>
      <c r="AC552" s="361"/>
      <c r="AD552" s="361"/>
      <c r="AE552" s="361"/>
      <c r="AF552" s="361"/>
      <c r="AG552" s="361"/>
      <c r="AH552" s="361"/>
      <c r="AI552" s="361"/>
      <c r="AJ552" s="361"/>
      <c r="AK552" s="361"/>
      <c r="AL552" s="361"/>
      <c r="AM552" s="361"/>
      <c r="AN552" s="361"/>
      <c r="AO552" s="361"/>
      <c r="AP552" s="361"/>
      <c r="AQ552" s="361"/>
      <c r="AR552" s="361"/>
      <c r="AS552" s="361"/>
      <c r="AT552" s="361"/>
      <c r="AU552" s="361"/>
      <c r="AV552" s="351"/>
      <c r="AW552" s="351"/>
      <c r="AX552" s="351"/>
      <c r="AY552" s="260"/>
      <c r="AZ552" s="181"/>
      <c r="BA552" s="351"/>
      <c r="BB552" s="351"/>
      <c r="BC552" s="156"/>
      <c r="BD552" s="156"/>
      <c r="BE552" s="156"/>
      <c r="BF552" s="156"/>
      <c r="BG552" s="156"/>
      <c r="BH552" s="351"/>
    </row>
    <row r="553" spans="1:62" s="179" customFormat="1" ht="24.65" customHeight="1">
      <c r="A553" s="145"/>
      <c r="B553" s="163" t="s">
        <v>1760</v>
      </c>
      <c r="C553" s="164"/>
      <c r="D553" s="368"/>
      <c r="E553" s="368"/>
      <c r="F553" s="368"/>
      <c r="G553" s="410"/>
      <c r="H553" s="411"/>
      <c r="I553" s="411"/>
      <c r="J553" s="411"/>
      <c r="K553" s="411"/>
      <c r="L553" s="411"/>
      <c r="M553" s="368"/>
      <c r="N553" s="368"/>
      <c r="O553" s="368"/>
      <c r="P553" s="368"/>
      <c r="Q553" s="368"/>
      <c r="R553" s="368"/>
      <c r="S553" s="368"/>
      <c r="T553" s="368"/>
      <c r="U553" s="368"/>
      <c r="V553" s="368"/>
      <c r="W553" s="368"/>
      <c r="X553" s="368"/>
      <c r="Y553" s="368"/>
      <c r="Z553" s="368"/>
      <c r="AA553" s="368"/>
      <c r="AB553" s="368"/>
      <c r="AC553" s="368"/>
      <c r="AD553" s="368"/>
      <c r="AE553" s="368"/>
      <c r="AF553" s="368"/>
      <c r="AG553" s="368"/>
      <c r="AH553" s="368"/>
      <c r="AI553" s="368"/>
      <c r="AJ553" s="368"/>
      <c r="AK553" s="368"/>
      <c r="AL553" s="368"/>
      <c r="AM553" s="368"/>
      <c r="AN553" s="368"/>
      <c r="AO553" s="368"/>
      <c r="AP553" s="368"/>
      <c r="AQ553" s="368"/>
      <c r="AR553" s="368"/>
      <c r="AS553" s="368"/>
      <c r="AT553" s="368"/>
      <c r="AU553" s="368"/>
      <c r="AV553" s="368"/>
      <c r="AW553" s="368"/>
      <c r="AX553" s="368"/>
      <c r="AY553" s="257"/>
      <c r="AZ553" s="178"/>
      <c r="BA553" s="368"/>
      <c r="BB553" s="368"/>
      <c r="BC553" s="165"/>
      <c r="BD553" s="165"/>
      <c r="BE553" s="165"/>
      <c r="BF553" s="165"/>
      <c r="BG553" s="165"/>
      <c r="BH553" s="368"/>
      <c r="BI553" s="412"/>
      <c r="BJ553" s="412"/>
    </row>
    <row r="554" spans="1:62" ht="45" customHeight="1">
      <c r="A554" s="344">
        <f>SUBTOTAL(3,C$11:$C554)</f>
        <v>376</v>
      </c>
      <c r="B554" s="337" t="s">
        <v>651</v>
      </c>
      <c r="C554" s="338" t="s">
        <v>100</v>
      </c>
      <c r="D554" s="361">
        <v>0.04</v>
      </c>
      <c r="E554" s="361">
        <v>0.04</v>
      </c>
      <c r="F554" s="196"/>
      <c r="G554" s="414">
        <f t="shared" ref="G554:G571" si="78">SUM(M554:AR554)</f>
        <v>0.04</v>
      </c>
      <c r="H554" s="413" t="s">
        <v>100</v>
      </c>
      <c r="I554" s="413" t="s">
        <v>100</v>
      </c>
      <c r="J554" s="413"/>
      <c r="K554" s="413" t="str">
        <f t="shared" ref="K554:K571" si="79">IF(M554&lt;&gt;0,$M$5&amp;", ","")&amp;IF(N554&lt;&gt;0,$N$5&amp;", ","")&amp;IF(O554&lt;&gt;0,O$5&amp;", ","")&amp;IF(P554&lt;&gt;0,P$5&amp;", ","")&amp;IF(Q554&lt;&gt;0,Q$5&amp;", ","")&amp;IF(R554&lt;&gt;0,R$5&amp;", ","")&amp;IF(S554&lt;&gt;0,S$5&amp;", ","")&amp;IF(T554&lt;&gt;0,T$5&amp;", ","")&amp;IF(U554&lt;&gt;0,U$5&amp;", ","")&amp;IF(V554&lt;&gt;0,V$5&amp;", ","")&amp;IF(W554&lt;&gt;0,W$5&amp;", ","")&amp;IF(X554&lt;&gt;0,X$5&amp;", ","")&amp;IF(Y554&lt;&gt;0,Y$5&amp;", ","")&amp;IF(Z554&lt;&gt;0,Z$5&amp;", ","")&amp;IF(AA554&lt;&gt;0,AA$5&amp;", ","")&amp;IF(AB554&lt;&gt;0,AB$5&amp;", ","")&amp;IF(AC554&lt;&gt;0,AC$5&amp;", ","")&amp;IF(AD554&lt;&gt;0,AD$5&amp;", ","")&amp;IF(AE554&lt;&gt;0,AE$5&amp;", ","")&amp;IF(AF554&lt;&gt;0,AF$5&amp;", ","")&amp;IF(AG554&lt;&gt;0,AG$5&amp;", ","")&amp;IF(AH554&lt;&gt;0,AH$5&amp;", ","")&amp;IF(AI554&lt;&gt;0,AI$5&amp;", ","")&amp;IF(AJ554&lt;&gt;0,AJ$5&amp;", ","")&amp;IF(AK554&lt;&gt;0,AK$5&amp;", ","")&amp;IF(AL554&lt;&gt;0,AL$5&amp;", ","")&amp;IF(AM554&lt;&gt;0,AM$5&amp;", ","")&amp;IF(AN554&lt;&gt;0,AN$5&amp;", ","")&amp;IF(AO554&lt;&gt;0,AO$5&amp;", ","")&amp;IF(AP554&lt;&gt;0,AP$5&amp;", ","")&amp;IF(AQ554&lt;&gt;0,AQ$5&amp;", ","")&amp;IF(AR554&lt;&gt;0,AR$5,"")&amp;IF(AS554&lt;&gt;0,AS$5,"")&amp;IF(AT554&lt;&gt;0,AT$5,"")&amp;IF(AU554&lt;&gt;0,AU$5,"")</f>
        <v xml:space="preserve">DSH, </v>
      </c>
      <c r="L554" s="413" t="str">
        <f t="shared" ref="L554:L571" si="80">IF(M554="","",$M$5&amp;":"&amp;M554&amp;";")&amp;IF(N554="","",$N$5&amp;":"&amp;N554&amp;";")&amp;IF(O554="","",$O$5&amp;":"&amp;O554&amp;";")&amp;IF(P554="","",$P$5&amp;":"&amp;P554&amp;";")&amp;IF(Q554="","",$Q$5&amp;":"&amp;Q554&amp;";")&amp;IF(R554="","",$R$5&amp;":"&amp;R554&amp;";")&amp;IF(S554="","",$S$5&amp;":"&amp;S554&amp;";")&amp;IF(T554="","",$T$5&amp;":"&amp;T554&amp;";")&amp;IF(U554="","",$U$5&amp;":"&amp;U554&amp;";")&amp;IF(V554="","",$V$5&amp;":"&amp;V554&amp;";")&amp;IF(W554="","",$W$5&amp;":"&amp;W554&amp;";")&amp;IF(X554="","",$X$5&amp;":"&amp;X554&amp;";")&amp;IF(Y554="","",$Y$5&amp;":"&amp;Y554&amp;";")&amp;IF(Z554="","",$Z$5&amp;":"&amp;Z554&amp;";")&amp;IF(AA554="","",$AA$5&amp;":"&amp;AA554&amp;";")&amp;IF(AB554="","",$AB$5&amp;":"&amp;AB554&amp;";")&amp;IF(AC554="","",$AC$5&amp;":"&amp;AC554&amp;";")&amp;IF(AD554="","",$AD$5&amp;":"&amp;AD554&amp;";")&amp;IF(AE554="","",$AE$5&amp;":"&amp;AE554&amp;";")&amp;IF(AF554="","",$AF$5&amp;":"&amp;AF554&amp;";")&amp;IF(AG554="","",$AG$5&amp;":"&amp;AG554&amp;";")&amp;IF(AH554="","",$AH$5&amp;":"&amp;AH554&amp;";")&amp;IF(AI554="","",$AI$5&amp;":"&amp;AI554&amp;";")&amp;IF(AJ554="","",$AJ$5&amp;":"&amp;AJ554&amp;";")&amp;IF(AK554="","",$AK$5&amp;":"&amp;AK554&amp;";")&amp;IF(AL554="","",$AL$5&amp;":"&amp;AL554&amp;";")&amp;IF(AM554="","",$AM$5&amp;":"&amp;AM554&amp;";")&amp;IF(AN554="","",$AN$5&amp;":"&amp;AN554&amp;";")&amp;IF(AO554="","",$AO$5&amp;":"&amp;AO554&amp;";")&amp;IF(AP554="","",$AP$5&amp;":"&amp;AP554&amp;";")&amp;IF(AQ554="","",$AQ$5&amp;":"&amp;AQ554&amp;";")&amp;IF(AR554="","",$AR$5&amp;":"&amp;AR554&amp;";")&amp;IF(AS554="","",$AS$5&amp;":"&amp;AS554&amp;";")&amp;IF(AT554="","",$AT$5&amp;":"&amp;AT554&amp;";")&amp;IF(AU554="","",$AU$5&amp;":"&amp;AU554&amp;";")</f>
        <v>DSH:0,04;</v>
      </c>
      <c r="M554" s="196"/>
      <c r="N554" s="196"/>
      <c r="O554" s="196"/>
      <c r="P554" s="196"/>
      <c r="Q554" s="196"/>
      <c r="R554" s="196"/>
      <c r="S554" s="196"/>
      <c r="T554" s="196"/>
      <c r="U554" s="196"/>
      <c r="V554" s="196"/>
      <c r="W554" s="196"/>
      <c r="X554" s="196"/>
      <c r="Y554" s="196"/>
      <c r="Z554" s="196"/>
      <c r="AA554" s="196"/>
      <c r="AB554" s="196"/>
      <c r="AC554" s="196"/>
      <c r="AD554" s="196"/>
      <c r="AE554" s="196"/>
      <c r="AF554" s="196"/>
      <c r="AG554" s="196"/>
      <c r="AH554" s="196"/>
      <c r="AI554" s="196"/>
      <c r="AJ554" s="196">
        <v>0.04</v>
      </c>
      <c r="AK554" s="196"/>
      <c r="AL554" s="196"/>
      <c r="AM554" s="196"/>
      <c r="AN554" s="196"/>
      <c r="AO554" s="196"/>
      <c r="AP554" s="196"/>
      <c r="AQ554" s="196"/>
      <c r="AR554" s="196"/>
      <c r="AS554" s="196"/>
      <c r="AT554" s="196"/>
      <c r="AU554" s="196"/>
      <c r="AV554" s="338" t="s">
        <v>303</v>
      </c>
      <c r="AW554" s="338" t="s">
        <v>303</v>
      </c>
      <c r="AX554" s="350" t="s">
        <v>652</v>
      </c>
      <c r="AY554" s="356" t="s">
        <v>652</v>
      </c>
      <c r="AZ554" s="352" t="s">
        <v>1353</v>
      </c>
      <c r="BA554" s="350"/>
      <c r="BB554" s="350"/>
      <c r="BC554" s="195" t="s">
        <v>270</v>
      </c>
      <c r="BD554" s="195"/>
      <c r="BE554" s="195"/>
      <c r="BF554" s="195" t="s">
        <v>263</v>
      </c>
      <c r="BG554" s="195"/>
      <c r="BH554" s="350"/>
    </row>
    <row r="555" spans="1:62" ht="45" customHeight="1">
      <c r="A555" s="344">
        <f>SUBTOTAL(3,C$11:$C555)</f>
        <v>377</v>
      </c>
      <c r="B555" s="337" t="s">
        <v>653</v>
      </c>
      <c r="C555" s="338" t="s">
        <v>100</v>
      </c>
      <c r="D555" s="361">
        <v>7.0000000000000007E-2</v>
      </c>
      <c r="E555" s="361">
        <v>7.0000000000000007E-2</v>
      </c>
      <c r="F555" s="192"/>
      <c r="G555" s="414">
        <f t="shared" si="78"/>
        <v>7.0000000000000007E-2</v>
      </c>
      <c r="H555" s="413" t="s">
        <v>100</v>
      </c>
      <c r="I555" s="413" t="s">
        <v>100</v>
      </c>
      <c r="J555" s="413"/>
      <c r="K555" s="413" t="str">
        <f t="shared" si="79"/>
        <v xml:space="preserve">DSH, </v>
      </c>
      <c r="L555" s="413" t="str">
        <f t="shared" si="80"/>
        <v>DSH:0,07;</v>
      </c>
      <c r="M555" s="192"/>
      <c r="N555" s="192"/>
      <c r="O555" s="192"/>
      <c r="P555" s="192"/>
      <c r="Q555" s="192"/>
      <c r="R555" s="192"/>
      <c r="S555" s="192"/>
      <c r="T555" s="192"/>
      <c r="U555" s="192"/>
      <c r="V555" s="192"/>
      <c r="W555" s="192"/>
      <c r="X555" s="192"/>
      <c r="Y555" s="192"/>
      <c r="Z555" s="192"/>
      <c r="AA555" s="192"/>
      <c r="AB555" s="192"/>
      <c r="AC555" s="192"/>
      <c r="AD555" s="192"/>
      <c r="AE555" s="192"/>
      <c r="AF555" s="192"/>
      <c r="AG555" s="192"/>
      <c r="AH555" s="192"/>
      <c r="AI555" s="192"/>
      <c r="AJ555" s="192">
        <v>7.0000000000000007E-2</v>
      </c>
      <c r="AK555" s="192"/>
      <c r="AL555" s="192"/>
      <c r="AM555" s="192"/>
      <c r="AN555" s="192"/>
      <c r="AO555" s="192"/>
      <c r="AP555" s="192"/>
      <c r="AQ555" s="192"/>
      <c r="AR555" s="192"/>
      <c r="AS555" s="192"/>
      <c r="AT555" s="192"/>
      <c r="AU555" s="192"/>
      <c r="AV555" s="338" t="s">
        <v>303</v>
      </c>
      <c r="AW555" s="338" t="s">
        <v>303</v>
      </c>
      <c r="AX555" s="350" t="s">
        <v>654</v>
      </c>
      <c r="AY555" s="356" t="s">
        <v>654</v>
      </c>
      <c r="AZ555" s="352" t="s">
        <v>1354</v>
      </c>
      <c r="BA555" s="350"/>
      <c r="BB555" s="350"/>
      <c r="BC555" s="195" t="s">
        <v>270</v>
      </c>
      <c r="BD555" s="195"/>
      <c r="BE555" s="195"/>
      <c r="BF555" s="195" t="s">
        <v>263</v>
      </c>
      <c r="BG555" s="195"/>
      <c r="BH555" s="350"/>
    </row>
    <row r="556" spans="1:62" ht="35.15" customHeight="1">
      <c r="A556" s="344">
        <f>SUBTOTAL(3,C$11:$C556)</f>
        <v>378</v>
      </c>
      <c r="B556" s="337" t="s">
        <v>658</v>
      </c>
      <c r="C556" s="338" t="s">
        <v>100</v>
      </c>
      <c r="D556" s="361">
        <v>0.01</v>
      </c>
      <c r="E556" s="361">
        <v>0.01</v>
      </c>
      <c r="F556" s="192"/>
      <c r="G556" s="414">
        <f t="shared" si="78"/>
        <v>0.01</v>
      </c>
      <c r="H556" s="413" t="s">
        <v>100</v>
      </c>
      <c r="I556" s="413" t="s">
        <v>100</v>
      </c>
      <c r="J556" s="413"/>
      <c r="K556" s="413" t="str">
        <f t="shared" si="79"/>
        <v xml:space="preserve">DSH, </v>
      </c>
      <c r="L556" s="413" t="str">
        <f t="shared" si="80"/>
        <v>DSH:0,01;</v>
      </c>
      <c r="M556" s="192"/>
      <c r="N556" s="192"/>
      <c r="O556" s="192"/>
      <c r="P556" s="192"/>
      <c r="Q556" s="192"/>
      <c r="R556" s="192"/>
      <c r="S556" s="192"/>
      <c r="T556" s="192"/>
      <c r="U556" s="192"/>
      <c r="V556" s="192"/>
      <c r="W556" s="192"/>
      <c r="X556" s="192"/>
      <c r="Y556" s="192"/>
      <c r="Z556" s="192"/>
      <c r="AA556" s="192"/>
      <c r="AB556" s="192"/>
      <c r="AC556" s="192"/>
      <c r="AD556" s="192"/>
      <c r="AE556" s="192"/>
      <c r="AF556" s="192"/>
      <c r="AG556" s="192"/>
      <c r="AH556" s="192"/>
      <c r="AI556" s="192"/>
      <c r="AJ556" s="192">
        <v>0.01</v>
      </c>
      <c r="AK556" s="192"/>
      <c r="AL556" s="192"/>
      <c r="AM556" s="192"/>
      <c r="AN556" s="192"/>
      <c r="AO556" s="192"/>
      <c r="AP556" s="192"/>
      <c r="AQ556" s="192"/>
      <c r="AR556" s="192"/>
      <c r="AS556" s="192"/>
      <c r="AT556" s="192"/>
      <c r="AU556" s="192"/>
      <c r="AV556" s="338" t="s">
        <v>217</v>
      </c>
      <c r="AW556" s="338" t="s">
        <v>217</v>
      </c>
      <c r="AX556" s="350" t="s">
        <v>1356</v>
      </c>
      <c r="AY556" s="356" t="s">
        <v>1356</v>
      </c>
      <c r="AZ556" s="352" t="s">
        <v>1357</v>
      </c>
      <c r="BA556" s="350"/>
      <c r="BB556" s="350"/>
      <c r="BC556" s="195" t="s">
        <v>270</v>
      </c>
      <c r="BD556" s="195"/>
      <c r="BE556" s="195"/>
      <c r="BF556" s="195" t="s">
        <v>263</v>
      </c>
      <c r="BG556" s="195"/>
      <c r="BH556" s="350"/>
    </row>
    <row r="557" spans="1:62" ht="35.15" customHeight="1">
      <c r="A557" s="344">
        <f>SUBTOTAL(3,C$11:$C557)</f>
        <v>379</v>
      </c>
      <c r="B557" s="337" t="s">
        <v>660</v>
      </c>
      <c r="C557" s="338" t="s">
        <v>100</v>
      </c>
      <c r="D557" s="361">
        <v>0.03</v>
      </c>
      <c r="E557" s="361">
        <v>0.03</v>
      </c>
      <c r="F557" s="192"/>
      <c r="G557" s="414">
        <f t="shared" si="78"/>
        <v>0.03</v>
      </c>
      <c r="H557" s="413" t="s">
        <v>100</v>
      </c>
      <c r="I557" s="413" t="s">
        <v>100</v>
      </c>
      <c r="J557" s="413"/>
      <c r="K557" s="413" t="str">
        <f t="shared" si="79"/>
        <v xml:space="preserve">DSH, </v>
      </c>
      <c r="L557" s="413" t="str">
        <f t="shared" si="80"/>
        <v>DSH:0,03;</v>
      </c>
      <c r="M557" s="192"/>
      <c r="N557" s="192"/>
      <c r="O557" s="192"/>
      <c r="P557" s="192"/>
      <c r="Q557" s="192"/>
      <c r="R557" s="192"/>
      <c r="S557" s="192"/>
      <c r="T557" s="192"/>
      <c r="U557" s="192"/>
      <c r="V557" s="192"/>
      <c r="W557" s="192"/>
      <c r="X557" s="192"/>
      <c r="Y557" s="192"/>
      <c r="Z557" s="192"/>
      <c r="AA557" s="192"/>
      <c r="AB557" s="192"/>
      <c r="AC557" s="192"/>
      <c r="AD557" s="192"/>
      <c r="AE557" s="192"/>
      <c r="AF557" s="192"/>
      <c r="AG557" s="192"/>
      <c r="AH557" s="192"/>
      <c r="AI557" s="192"/>
      <c r="AJ557" s="192">
        <v>0.03</v>
      </c>
      <c r="AK557" s="192"/>
      <c r="AL557" s="192"/>
      <c r="AM557" s="192"/>
      <c r="AN557" s="192"/>
      <c r="AO557" s="192"/>
      <c r="AP557" s="192"/>
      <c r="AQ557" s="192"/>
      <c r="AR557" s="192"/>
      <c r="AS557" s="192"/>
      <c r="AT557" s="192"/>
      <c r="AU557" s="192"/>
      <c r="AV557" s="338" t="s">
        <v>217</v>
      </c>
      <c r="AW557" s="338" t="s">
        <v>217</v>
      </c>
      <c r="AX557" s="350" t="s">
        <v>1359</v>
      </c>
      <c r="AY557" s="356" t="s">
        <v>1359</v>
      </c>
      <c r="AZ557" s="352" t="s">
        <v>1360</v>
      </c>
      <c r="BA557" s="350"/>
      <c r="BB557" s="350"/>
      <c r="BC557" s="195" t="s">
        <v>270</v>
      </c>
      <c r="BD557" s="195"/>
      <c r="BE557" s="195"/>
      <c r="BF557" s="195" t="s">
        <v>263</v>
      </c>
      <c r="BG557" s="195"/>
      <c r="BH557" s="350"/>
    </row>
    <row r="558" spans="1:62" ht="46.5" customHeight="1">
      <c r="A558" s="344">
        <f>SUBTOTAL(3,C$11:$C558)</f>
        <v>380</v>
      </c>
      <c r="B558" s="337" t="s">
        <v>680</v>
      </c>
      <c r="C558" s="338" t="s">
        <v>100</v>
      </c>
      <c r="D558" s="339">
        <v>1.5599999999999999E-2</v>
      </c>
      <c r="E558" s="339">
        <v>1.5599999999999999E-2</v>
      </c>
      <c r="F558" s="339"/>
      <c r="G558" s="414">
        <f t="shared" si="78"/>
        <v>1.5599999999999999E-2</v>
      </c>
      <c r="H558" s="413" t="s">
        <v>100</v>
      </c>
      <c r="I558" s="413" t="s">
        <v>100</v>
      </c>
      <c r="J558" s="413"/>
      <c r="K558" s="413" t="str">
        <f t="shared" si="79"/>
        <v xml:space="preserve">DSH, </v>
      </c>
      <c r="L558" s="413" t="str">
        <f t="shared" si="80"/>
        <v>DSH:0,0156;</v>
      </c>
      <c r="M558" s="339"/>
      <c r="N558" s="339"/>
      <c r="O558" s="339"/>
      <c r="P558" s="339"/>
      <c r="Q558" s="339"/>
      <c r="R558" s="339"/>
      <c r="S558" s="339"/>
      <c r="T558" s="339"/>
      <c r="U558" s="339"/>
      <c r="V558" s="339"/>
      <c r="W558" s="339"/>
      <c r="X558" s="339"/>
      <c r="Y558" s="339"/>
      <c r="Z558" s="339"/>
      <c r="AA558" s="339"/>
      <c r="AB558" s="339"/>
      <c r="AC558" s="339"/>
      <c r="AD558" s="339"/>
      <c r="AE558" s="339"/>
      <c r="AF558" s="339"/>
      <c r="AG558" s="339"/>
      <c r="AH558" s="339"/>
      <c r="AI558" s="339"/>
      <c r="AJ558" s="339">
        <v>1.5599999999999999E-2</v>
      </c>
      <c r="AK558" s="339"/>
      <c r="AL558" s="339"/>
      <c r="AM558" s="339"/>
      <c r="AN558" s="339"/>
      <c r="AO558" s="339"/>
      <c r="AP558" s="339"/>
      <c r="AQ558" s="339"/>
      <c r="AR558" s="339"/>
      <c r="AS558" s="339"/>
      <c r="AT558" s="339"/>
      <c r="AU558" s="339"/>
      <c r="AV558" s="338" t="s">
        <v>313</v>
      </c>
      <c r="AW558" s="338" t="s">
        <v>313</v>
      </c>
      <c r="AX558" s="346" t="s">
        <v>681</v>
      </c>
      <c r="AY558" s="258" t="s">
        <v>681</v>
      </c>
      <c r="AZ558" s="202" t="s">
        <v>1381</v>
      </c>
      <c r="BA558" s="346"/>
      <c r="BB558" s="346"/>
      <c r="BC558" s="478" t="s">
        <v>267</v>
      </c>
      <c r="BD558" s="478"/>
      <c r="BE558" s="478"/>
      <c r="BF558" s="478" t="s">
        <v>263</v>
      </c>
      <c r="BG558" s="478"/>
      <c r="BH558" s="346"/>
    </row>
    <row r="559" spans="1:62" ht="46.5" customHeight="1">
      <c r="A559" s="344">
        <f>SUBTOTAL(3,C$11:$C559)</f>
        <v>381</v>
      </c>
      <c r="B559" s="337" t="s">
        <v>682</v>
      </c>
      <c r="C559" s="338" t="s">
        <v>100</v>
      </c>
      <c r="D559" s="339">
        <v>0.05</v>
      </c>
      <c r="E559" s="339">
        <v>0.05</v>
      </c>
      <c r="F559" s="339"/>
      <c r="G559" s="414">
        <f t="shared" si="78"/>
        <v>0.05</v>
      </c>
      <c r="H559" s="413" t="s">
        <v>100</v>
      </c>
      <c r="I559" s="413" t="s">
        <v>100</v>
      </c>
      <c r="J559" s="413"/>
      <c r="K559" s="413" t="str">
        <f t="shared" si="79"/>
        <v xml:space="preserve">DSH, </v>
      </c>
      <c r="L559" s="413" t="str">
        <f t="shared" si="80"/>
        <v>DSH:0,05;</v>
      </c>
      <c r="M559" s="339"/>
      <c r="N559" s="339"/>
      <c r="O559" s="339"/>
      <c r="P559" s="339"/>
      <c r="Q559" s="339"/>
      <c r="R559" s="339"/>
      <c r="S559" s="339"/>
      <c r="T559" s="339"/>
      <c r="U559" s="339"/>
      <c r="V559" s="339"/>
      <c r="W559" s="339"/>
      <c r="X559" s="339"/>
      <c r="Y559" s="339"/>
      <c r="Z559" s="339"/>
      <c r="AA559" s="339"/>
      <c r="AB559" s="339"/>
      <c r="AC559" s="339"/>
      <c r="AD559" s="339"/>
      <c r="AE559" s="339"/>
      <c r="AF559" s="339"/>
      <c r="AG559" s="339"/>
      <c r="AH559" s="339"/>
      <c r="AI559" s="339"/>
      <c r="AJ559" s="339">
        <v>0.05</v>
      </c>
      <c r="AK559" s="339"/>
      <c r="AL559" s="339"/>
      <c r="AM559" s="339"/>
      <c r="AN559" s="339"/>
      <c r="AO559" s="339"/>
      <c r="AP559" s="339"/>
      <c r="AQ559" s="339"/>
      <c r="AR559" s="339"/>
      <c r="AS559" s="339"/>
      <c r="AT559" s="339"/>
      <c r="AU559" s="339"/>
      <c r="AV559" s="338" t="s">
        <v>313</v>
      </c>
      <c r="AW559" s="338" t="s">
        <v>313</v>
      </c>
      <c r="AX559" s="432" t="s">
        <v>683</v>
      </c>
      <c r="AY559" s="433" t="s">
        <v>683</v>
      </c>
      <c r="AZ559" s="434" t="s">
        <v>1382</v>
      </c>
      <c r="BA559" s="432"/>
      <c r="BB559" s="432"/>
      <c r="BC559" s="478" t="s">
        <v>316</v>
      </c>
      <c r="BD559" s="478"/>
      <c r="BE559" s="478"/>
      <c r="BF559" s="478" t="s">
        <v>263</v>
      </c>
      <c r="BG559" s="478"/>
      <c r="BH559" s="432"/>
    </row>
    <row r="560" spans="1:62" ht="35.15" customHeight="1">
      <c r="A560" s="344">
        <f>SUBTOTAL(3,C$11:$C560)</f>
        <v>382</v>
      </c>
      <c r="B560" s="200" t="s">
        <v>684</v>
      </c>
      <c r="C560" s="338" t="s">
        <v>100</v>
      </c>
      <c r="D560" s="192">
        <v>0.04</v>
      </c>
      <c r="E560" s="192">
        <v>0.04</v>
      </c>
      <c r="F560" s="192"/>
      <c r="G560" s="414">
        <f t="shared" si="78"/>
        <v>0.04</v>
      </c>
      <c r="H560" s="413" t="s">
        <v>100</v>
      </c>
      <c r="I560" s="413" t="s">
        <v>100</v>
      </c>
      <c r="J560" s="413"/>
      <c r="K560" s="413" t="str">
        <f t="shared" si="79"/>
        <v xml:space="preserve">DSH, </v>
      </c>
      <c r="L560" s="413" t="str">
        <f t="shared" si="80"/>
        <v>DSH:0,04;</v>
      </c>
      <c r="M560" s="192"/>
      <c r="N560" s="192"/>
      <c r="O560" s="192"/>
      <c r="P560" s="192"/>
      <c r="Q560" s="192"/>
      <c r="R560" s="192"/>
      <c r="S560" s="192"/>
      <c r="T560" s="192"/>
      <c r="U560" s="192"/>
      <c r="V560" s="192"/>
      <c r="W560" s="192"/>
      <c r="X560" s="192"/>
      <c r="Y560" s="192"/>
      <c r="Z560" s="192"/>
      <c r="AA560" s="192"/>
      <c r="AB560" s="192"/>
      <c r="AC560" s="192"/>
      <c r="AD560" s="192"/>
      <c r="AE560" s="192"/>
      <c r="AF560" s="192"/>
      <c r="AG560" s="192"/>
      <c r="AH560" s="192"/>
      <c r="AI560" s="192"/>
      <c r="AJ560" s="192">
        <v>0.04</v>
      </c>
      <c r="AK560" s="192"/>
      <c r="AL560" s="192"/>
      <c r="AM560" s="192"/>
      <c r="AN560" s="192"/>
      <c r="AO560" s="192"/>
      <c r="AP560" s="192"/>
      <c r="AQ560" s="192"/>
      <c r="AR560" s="192"/>
      <c r="AS560" s="192"/>
      <c r="AT560" s="192"/>
      <c r="AU560" s="192"/>
      <c r="AV560" s="350" t="s">
        <v>292</v>
      </c>
      <c r="AW560" s="350" t="s">
        <v>292</v>
      </c>
      <c r="AX560" s="350" t="s">
        <v>685</v>
      </c>
      <c r="AY560" s="356" t="s">
        <v>685</v>
      </c>
      <c r="AZ560" s="352" t="s">
        <v>1383</v>
      </c>
      <c r="BA560" s="350"/>
      <c r="BB560" s="350"/>
      <c r="BC560" s="478" t="s">
        <v>316</v>
      </c>
      <c r="BD560" s="478"/>
      <c r="BE560" s="478"/>
      <c r="BF560" s="478" t="s">
        <v>263</v>
      </c>
      <c r="BG560" s="478"/>
      <c r="BH560" s="350"/>
    </row>
    <row r="561" spans="1:62" ht="35.15" customHeight="1">
      <c r="A561" s="344">
        <f>SUBTOTAL(3,C$11:$C561)</f>
        <v>383</v>
      </c>
      <c r="B561" s="200" t="s">
        <v>686</v>
      </c>
      <c r="C561" s="338" t="s">
        <v>100</v>
      </c>
      <c r="D561" s="192">
        <v>0.05</v>
      </c>
      <c r="E561" s="192">
        <v>0.05</v>
      </c>
      <c r="F561" s="192"/>
      <c r="G561" s="414">
        <f t="shared" si="78"/>
        <v>0.05</v>
      </c>
      <c r="H561" s="413" t="s">
        <v>100</v>
      </c>
      <c r="I561" s="413" t="s">
        <v>100</v>
      </c>
      <c r="J561" s="413"/>
      <c r="K561" s="413" t="str">
        <f t="shared" si="79"/>
        <v xml:space="preserve">DSH, </v>
      </c>
      <c r="L561" s="413" t="str">
        <f t="shared" si="80"/>
        <v>DSH:0,05;</v>
      </c>
      <c r="M561" s="192"/>
      <c r="N561" s="192"/>
      <c r="O561" s="192"/>
      <c r="P561" s="192"/>
      <c r="Q561" s="192"/>
      <c r="R561" s="192"/>
      <c r="S561" s="192"/>
      <c r="T561" s="192"/>
      <c r="U561" s="192"/>
      <c r="V561" s="192"/>
      <c r="W561" s="192"/>
      <c r="X561" s="192"/>
      <c r="Y561" s="192"/>
      <c r="Z561" s="192"/>
      <c r="AA561" s="192"/>
      <c r="AB561" s="192"/>
      <c r="AC561" s="192"/>
      <c r="AD561" s="192"/>
      <c r="AE561" s="192"/>
      <c r="AF561" s="192"/>
      <c r="AG561" s="192"/>
      <c r="AH561" s="192"/>
      <c r="AI561" s="192"/>
      <c r="AJ561" s="192">
        <v>0.05</v>
      </c>
      <c r="AK561" s="192"/>
      <c r="AL561" s="192"/>
      <c r="AM561" s="192"/>
      <c r="AN561" s="192"/>
      <c r="AO561" s="192"/>
      <c r="AP561" s="192"/>
      <c r="AQ561" s="192"/>
      <c r="AR561" s="192"/>
      <c r="AS561" s="192"/>
      <c r="AT561" s="192"/>
      <c r="AU561" s="192"/>
      <c r="AV561" s="350" t="s">
        <v>292</v>
      </c>
      <c r="AW561" s="350" t="s">
        <v>292</v>
      </c>
      <c r="AX561" s="350" t="s">
        <v>687</v>
      </c>
      <c r="AY561" s="356" t="s">
        <v>687</v>
      </c>
      <c r="AZ561" s="352" t="s">
        <v>1384</v>
      </c>
      <c r="BA561" s="350"/>
      <c r="BB561" s="350"/>
      <c r="BC561" s="478" t="s">
        <v>316</v>
      </c>
      <c r="BD561" s="478"/>
      <c r="BE561" s="478"/>
      <c r="BF561" s="478" t="s">
        <v>263</v>
      </c>
      <c r="BG561" s="478"/>
      <c r="BH561" s="350"/>
    </row>
    <row r="562" spans="1:62" ht="35.15" customHeight="1">
      <c r="A562" s="344">
        <f>SUBTOTAL(3,C$11:$C562)</f>
        <v>384</v>
      </c>
      <c r="B562" s="200" t="s">
        <v>688</v>
      </c>
      <c r="C562" s="338" t="s">
        <v>100</v>
      </c>
      <c r="D562" s="203">
        <v>5.0000000000000001E-3</v>
      </c>
      <c r="E562" s="203">
        <v>5.0000000000000001E-3</v>
      </c>
      <c r="F562" s="192"/>
      <c r="G562" s="414">
        <f t="shared" si="78"/>
        <v>5.0000000000000001E-3</v>
      </c>
      <c r="H562" s="413" t="s">
        <v>100</v>
      </c>
      <c r="I562" s="413" t="s">
        <v>100</v>
      </c>
      <c r="J562" s="413"/>
      <c r="K562" s="413" t="str">
        <f t="shared" si="79"/>
        <v xml:space="preserve">DSH, </v>
      </c>
      <c r="L562" s="413" t="str">
        <f t="shared" si="80"/>
        <v>DSH:0,005;</v>
      </c>
      <c r="M562" s="192"/>
      <c r="N562" s="192"/>
      <c r="O562" s="192"/>
      <c r="P562" s="192"/>
      <c r="Q562" s="192"/>
      <c r="R562" s="192"/>
      <c r="S562" s="192"/>
      <c r="T562" s="192"/>
      <c r="U562" s="192"/>
      <c r="V562" s="192"/>
      <c r="W562" s="192"/>
      <c r="X562" s="192"/>
      <c r="Y562" s="192"/>
      <c r="Z562" s="192"/>
      <c r="AA562" s="192"/>
      <c r="AB562" s="192"/>
      <c r="AC562" s="192"/>
      <c r="AD562" s="192"/>
      <c r="AE562" s="192"/>
      <c r="AF562" s="192"/>
      <c r="AG562" s="192"/>
      <c r="AH562" s="192"/>
      <c r="AI562" s="192"/>
      <c r="AJ562" s="192">
        <v>5.0000000000000001E-3</v>
      </c>
      <c r="AK562" s="192"/>
      <c r="AL562" s="192"/>
      <c r="AM562" s="192"/>
      <c r="AN562" s="192"/>
      <c r="AO562" s="192"/>
      <c r="AP562" s="192"/>
      <c r="AQ562" s="192"/>
      <c r="AR562" s="192"/>
      <c r="AS562" s="192"/>
      <c r="AT562" s="192"/>
      <c r="AU562" s="192"/>
      <c r="AV562" s="350" t="s">
        <v>300</v>
      </c>
      <c r="AW562" s="350" t="s">
        <v>300</v>
      </c>
      <c r="AX562" s="432" t="s">
        <v>689</v>
      </c>
      <c r="AY562" s="433" t="s">
        <v>689</v>
      </c>
      <c r="AZ562" s="434" t="s">
        <v>1385</v>
      </c>
      <c r="BA562" s="432"/>
      <c r="BB562" s="432"/>
      <c r="BC562" s="478" t="s">
        <v>316</v>
      </c>
      <c r="BD562" s="478"/>
      <c r="BE562" s="478"/>
      <c r="BF562" s="478" t="s">
        <v>263</v>
      </c>
      <c r="BG562" s="478"/>
      <c r="BH562" s="432"/>
    </row>
    <row r="563" spans="1:62" ht="35.15" customHeight="1">
      <c r="A563" s="344">
        <f>SUBTOTAL(3,C$11:$C563)</f>
        <v>385</v>
      </c>
      <c r="B563" s="199" t="s">
        <v>690</v>
      </c>
      <c r="C563" s="338" t="s">
        <v>100</v>
      </c>
      <c r="D563" s="196">
        <v>1.2999999999999999E-2</v>
      </c>
      <c r="E563" s="196">
        <v>1.2999999999999999E-2</v>
      </c>
      <c r="F563" s="196"/>
      <c r="G563" s="414">
        <f t="shared" si="78"/>
        <v>1.2999999999999999E-2</v>
      </c>
      <c r="H563" s="413" t="s">
        <v>100</v>
      </c>
      <c r="I563" s="413" t="s">
        <v>100</v>
      </c>
      <c r="J563" s="413"/>
      <c r="K563" s="413" t="str">
        <f t="shared" si="79"/>
        <v xml:space="preserve">DSH, </v>
      </c>
      <c r="L563" s="413" t="str">
        <f t="shared" si="80"/>
        <v>DSH:0,013;</v>
      </c>
      <c r="M563" s="196"/>
      <c r="N563" s="196"/>
      <c r="O563" s="196"/>
      <c r="P563" s="196"/>
      <c r="Q563" s="196"/>
      <c r="R563" s="196"/>
      <c r="S563" s="196"/>
      <c r="T563" s="196"/>
      <c r="U563" s="196"/>
      <c r="V563" s="196"/>
      <c r="W563" s="196"/>
      <c r="X563" s="196"/>
      <c r="Y563" s="196"/>
      <c r="Z563" s="196"/>
      <c r="AA563" s="196"/>
      <c r="AB563" s="196"/>
      <c r="AC563" s="196"/>
      <c r="AD563" s="196"/>
      <c r="AE563" s="196"/>
      <c r="AF563" s="196"/>
      <c r="AG563" s="196"/>
      <c r="AH563" s="196"/>
      <c r="AI563" s="196"/>
      <c r="AJ563" s="196">
        <v>1.2999999999999999E-2</v>
      </c>
      <c r="AK563" s="196"/>
      <c r="AL563" s="196"/>
      <c r="AM563" s="196"/>
      <c r="AN563" s="196"/>
      <c r="AO563" s="196"/>
      <c r="AP563" s="196"/>
      <c r="AQ563" s="196"/>
      <c r="AR563" s="196"/>
      <c r="AS563" s="196"/>
      <c r="AT563" s="196"/>
      <c r="AU563" s="196"/>
      <c r="AV563" s="196" t="s">
        <v>300</v>
      </c>
      <c r="AW563" s="196" t="s">
        <v>300</v>
      </c>
      <c r="AX563" s="536" t="s">
        <v>691</v>
      </c>
      <c r="AY563" s="537" t="s">
        <v>691</v>
      </c>
      <c r="AZ563" s="538" t="s">
        <v>1386</v>
      </c>
      <c r="BA563" s="536"/>
      <c r="BB563" s="536"/>
      <c r="BC563" s="478" t="s">
        <v>316</v>
      </c>
      <c r="BD563" s="478"/>
      <c r="BE563" s="478"/>
      <c r="BF563" s="478" t="s">
        <v>263</v>
      </c>
      <c r="BG563" s="478"/>
      <c r="BH563" s="536"/>
    </row>
    <row r="564" spans="1:62" ht="35.15" customHeight="1">
      <c r="A564" s="344">
        <f>SUBTOTAL(3,C$11:$C564)</f>
        <v>386</v>
      </c>
      <c r="B564" s="201" t="s">
        <v>694</v>
      </c>
      <c r="C564" s="338" t="s">
        <v>100</v>
      </c>
      <c r="D564" s="191">
        <v>2.5000000000000001E-2</v>
      </c>
      <c r="E564" s="191">
        <v>2.5000000000000001E-2</v>
      </c>
      <c r="F564" s="350"/>
      <c r="G564" s="414">
        <f t="shared" si="78"/>
        <v>2.5000000000000001E-2</v>
      </c>
      <c r="H564" s="413" t="s">
        <v>100</v>
      </c>
      <c r="I564" s="413" t="s">
        <v>100</v>
      </c>
      <c r="J564" s="413"/>
      <c r="K564" s="413" t="str">
        <f t="shared" si="79"/>
        <v xml:space="preserve">DSH, </v>
      </c>
      <c r="L564" s="413" t="str">
        <f t="shared" si="80"/>
        <v>DSH:0,025;</v>
      </c>
      <c r="M564" s="350"/>
      <c r="N564" s="350"/>
      <c r="O564" s="350"/>
      <c r="P564" s="350"/>
      <c r="Q564" s="350"/>
      <c r="R564" s="350"/>
      <c r="S564" s="350"/>
      <c r="T564" s="350"/>
      <c r="U564" s="350"/>
      <c r="V564" s="350"/>
      <c r="W564" s="350"/>
      <c r="X564" s="350"/>
      <c r="Y564" s="350"/>
      <c r="Z564" s="350"/>
      <c r="AA564" s="350"/>
      <c r="AB564" s="350"/>
      <c r="AC564" s="350"/>
      <c r="AD564" s="350"/>
      <c r="AE564" s="350"/>
      <c r="AF564" s="350"/>
      <c r="AG564" s="350"/>
      <c r="AH564" s="350"/>
      <c r="AI564" s="350"/>
      <c r="AJ564" s="350">
        <v>2.5000000000000001E-2</v>
      </c>
      <c r="AK564" s="350"/>
      <c r="AL564" s="350"/>
      <c r="AM564" s="350"/>
      <c r="AN564" s="350"/>
      <c r="AO564" s="350"/>
      <c r="AP564" s="350"/>
      <c r="AQ564" s="350"/>
      <c r="AR564" s="350"/>
      <c r="AS564" s="350"/>
      <c r="AT564" s="350"/>
      <c r="AU564" s="350"/>
      <c r="AV564" s="350" t="s">
        <v>258</v>
      </c>
      <c r="AW564" s="350" t="s">
        <v>258</v>
      </c>
      <c r="AX564" s="432" t="s">
        <v>695</v>
      </c>
      <c r="AY564" s="433" t="s">
        <v>695</v>
      </c>
      <c r="AZ564" s="434" t="s">
        <v>1388</v>
      </c>
      <c r="BA564" s="432" t="s">
        <v>696</v>
      </c>
      <c r="BB564" s="432"/>
      <c r="BC564" s="478" t="s">
        <v>267</v>
      </c>
      <c r="BD564" s="478"/>
      <c r="BE564" s="478"/>
      <c r="BF564" s="478" t="s">
        <v>263</v>
      </c>
      <c r="BG564" s="478"/>
      <c r="BH564" s="432"/>
    </row>
    <row r="565" spans="1:62" ht="42.75" customHeight="1">
      <c r="A565" s="344">
        <f>SUBTOTAL(3,C$11:$C565)</f>
        <v>387</v>
      </c>
      <c r="B565" s="201" t="s">
        <v>699</v>
      </c>
      <c r="C565" s="338" t="s">
        <v>100</v>
      </c>
      <c r="D565" s="191">
        <v>4.2299999999999997E-2</v>
      </c>
      <c r="E565" s="191">
        <v>4.2299999999999997E-2</v>
      </c>
      <c r="F565" s="350"/>
      <c r="G565" s="414">
        <f t="shared" si="78"/>
        <v>4.2299999999999997E-2</v>
      </c>
      <c r="H565" s="413" t="s">
        <v>100</v>
      </c>
      <c r="I565" s="413" t="s">
        <v>100</v>
      </c>
      <c r="J565" s="413"/>
      <c r="K565" s="413" t="str">
        <f t="shared" si="79"/>
        <v xml:space="preserve">DSH, </v>
      </c>
      <c r="L565" s="413" t="str">
        <f t="shared" si="80"/>
        <v>DSH:0,0423;</v>
      </c>
      <c r="M565" s="350"/>
      <c r="N565" s="350"/>
      <c r="O565" s="350"/>
      <c r="P565" s="350"/>
      <c r="Q565" s="350"/>
      <c r="R565" s="350"/>
      <c r="S565" s="350"/>
      <c r="T565" s="350"/>
      <c r="U565" s="350"/>
      <c r="V565" s="350"/>
      <c r="W565" s="350"/>
      <c r="X565" s="350"/>
      <c r="Y565" s="350"/>
      <c r="Z565" s="350"/>
      <c r="AA565" s="350"/>
      <c r="AB565" s="350"/>
      <c r="AC565" s="350"/>
      <c r="AD565" s="350"/>
      <c r="AE565" s="350"/>
      <c r="AF565" s="350"/>
      <c r="AG565" s="350"/>
      <c r="AH565" s="350"/>
      <c r="AI565" s="350"/>
      <c r="AJ565" s="350">
        <v>4.2299999999999997E-2</v>
      </c>
      <c r="AK565" s="350"/>
      <c r="AL565" s="350"/>
      <c r="AM565" s="350"/>
      <c r="AN565" s="350"/>
      <c r="AO565" s="350"/>
      <c r="AP565" s="350"/>
      <c r="AQ565" s="350"/>
      <c r="AR565" s="350"/>
      <c r="AS565" s="350"/>
      <c r="AT565" s="350"/>
      <c r="AU565" s="350"/>
      <c r="AV565" s="350" t="s">
        <v>283</v>
      </c>
      <c r="AW565" s="350" t="s">
        <v>283</v>
      </c>
      <c r="AX565" s="432" t="s">
        <v>700</v>
      </c>
      <c r="AY565" s="433" t="s">
        <v>700</v>
      </c>
      <c r="AZ565" s="434" t="s">
        <v>1390</v>
      </c>
      <c r="BA565" s="432"/>
      <c r="BB565" s="432"/>
      <c r="BC565" s="478" t="s">
        <v>267</v>
      </c>
      <c r="BD565" s="478"/>
      <c r="BE565" s="478"/>
      <c r="BF565" s="478" t="s">
        <v>263</v>
      </c>
      <c r="BG565" s="478"/>
      <c r="BH565" s="432"/>
      <c r="BI565" s="539" t="s">
        <v>1944</v>
      </c>
    </row>
    <row r="566" spans="1:62" ht="35.15" customHeight="1">
      <c r="A566" s="344">
        <f>SUBTOTAL(3,C$11:$C566)</f>
        <v>388</v>
      </c>
      <c r="B566" s="201" t="s">
        <v>701</v>
      </c>
      <c r="C566" s="338" t="s">
        <v>100</v>
      </c>
      <c r="D566" s="191">
        <v>4.3900000000000002E-2</v>
      </c>
      <c r="E566" s="191">
        <v>4.3900000000000002E-2</v>
      </c>
      <c r="F566" s="350"/>
      <c r="G566" s="414">
        <f t="shared" si="78"/>
        <v>4.3900000000000002E-2</v>
      </c>
      <c r="H566" s="413" t="s">
        <v>100</v>
      </c>
      <c r="I566" s="413" t="s">
        <v>100</v>
      </c>
      <c r="J566" s="413"/>
      <c r="K566" s="413" t="str">
        <f t="shared" si="79"/>
        <v xml:space="preserve">DSH, </v>
      </c>
      <c r="L566" s="413" t="str">
        <f t="shared" si="80"/>
        <v>DSH:0,0439;</v>
      </c>
      <c r="M566" s="350"/>
      <c r="N566" s="350"/>
      <c r="O566" s="350"/>
      <c r="P566" s="350"/>
      <c r="Q566" s="350"/>
      <c r="R566" s="350"/>
      <c r="S566" s="350"/>
      <c r="T566" s="350"/>
      <c r="U566" s="350"/>
      <c r="V566" s="350"/>
      <c r="W566" s="350"/>
      <c r="X566" s="350"/>
      <c r="Y566" s="350"/>
      <c r="Z566" s="350"/>
      <c r="AA566" s="350"/>
      <c r="AB566" s="350"/>
      <c r="AC566" s="350"/>
      <c r="AD566" s="350"/>
      <c r="AE566" s="350"/>
      <c r="AF566" s="350"/>
      <c r="AG566" s="350"/>
      <c r="AH566" s="350"/>
      <c r="AI566" s="350"/>
      <c r="AJ566" s="350">
        <v>4.3900000000000002E-2</v>
      </c>
      <c r="AK566" s="350"/>
      <c r="AL566" s="350"/>
      <c r="AM566" s="350"/>
      <c r="AN566" s="350"/>
      <c r="AO566" s="350"/>
      <c r="AP566" s="350"/>
      <c r="AQ566" s="350"/>
      <c r="AR566" s="350"/>
      <c r="AS566" s="350"/>
      <c r="AT566" s="350"/>
      <c r="AU566" s="350"/>
      <c r="AV566" s="350" t="s">
        <v>283</v>
      </c>
      <c r="AW566" s="350" t="s">
        <v>283</v>
      </c>
      <c r="AX566" s="432" t="s">
        <v>702</v>
      </c>
      <c r="AY566" s="433" t="s">
        <v>702</v>
      </c>
      <c r="AZ566" s="434" t="s">
        <v>1391</v>
      </c>
      <c r="BA566" s="432"/>
      <c r="BB566" s="432"/>
      <c r="BC566" s="478" t="s">
        <v>267</v>
      </c>
      <c r="BD566" s="478"/>
      <c r="BE566" s="478"/>
      <c r="BF566" s="478" t="s">
        <v>263</v>
      </c>
      <c r="BG566" s="478"/>
      <c r="BH566" s="432"/>
    </row>
    <row r="567" spans="1:62" ht="35.15" customHeight="1">
      <c r="A567" s="344">
        <f>SUBTOTAL(3,C$11:$C567)</f>
        <v>389</v>
      </c>
      <c r="B567" s="201" t="s">
        <v>703</v>
      </c>
      <c r="C567" s="338" t="s">
        <v>100</v>
      </c>
      <c r="D567" s="191">
        <v>2.5399999999999999E-2</v>
      </c>
      <c r="E567" s="191">
        <v>2.5399999999999999E-2</v>
      </c>
      <c r="F567" s="350"/>
      <c r="G567" s="414">
        <f t="shared" si="78"/>
        <v>2.5399999999999999E-2</v>
      </c>
      <c r="H567" s="413" t="s">
        <v>100</v>
      </c>
      <c r="I567" s="413" t="s">
        <v>100</v>
      </c>
      <c r="J567" s="413"/>
      <c r="K567" s="413" t="str">
        <f t="shared" si="79"/>
        <v xml:space="preserve">DSH, </v>
      </c>
      <c r="L567" s="413" t="str">
        <f t="shared" si="80"/>
        <v>DSH:0,0254;</v>
      </c>
      <c r="M567" s="350"/>
      <c r="N567" s="350"/>
      <c r="O567" s="350"/>
      <c r="P567" s="350"/>
      <c r="Q567" s="350"/>
      <c r="R567" s="350"/>
      <c r="S567" s="350"/>
      <c r="T567" s="350"/>
      <c r="U567" s="350"/>
      <c r="V567" s="350"/>
      <c r="W567" s="350"/>
      <c r="X567" s="350"/>
      <c r="Y567" s="350"/>
      <c r="Z567" s="350"/>
      <c r="AA567" s="350"/>
      <c r="AB567" s="350"/>
      <c r="AC567" s="350"/>
      <c r="AD567" s="350"/>
      <c r="AE567" s="350"/>
      <c r="AF567" s="350"/>
      <c r="AG567" s="350"/>
      <c r="AH567" s="350"/>
      <c r="AI567" s="350"/>
      <c r="AJ567" s="350">
        <v>2.5399999999999999E-2</v>
      </c>
      <c r="AK567" s="350"/>
      <c r="AL567" s="350"/>
      <c r="AM567" s="350"/>
      <c r="AN567" s="350"/>
      <c r="AO567" s="350"/>
      <c r="AP567" s="350"/>
      <c r="AQ567" s="350"/>
      <c r="AR567" s="350"/>
      <c r="AS567" s="350"/>
      <c r="AT567" s="350"/>
      <c r="AU567" s="350"/>
      <c r="AV567" s="350" t="s">
        <v>283</v>
      </c>
      <c r="AW567" s="350" t="s">
        <v>283</v>
      </c>
      <c r="AX567" s="432" t="s">
        <v>704</v>
      </c>
      <c r="AY567" s="433" t="s">
        <v>704</v>
      </c>
      <c r="AZ567" s="434" t="s">
        <v>1392</v>
      </c>
      <c r="BA567" s="432"/>
      <c r="BB567" s="432"/>
      <c r="BC567" s="478" t="s">
        <v>267</v>
      </c>
      <c r="BD567" s="478"/>
      <c r="BE567" s="478"/>
      <c r="BF567" s="478" t="s">
        <v>263</v>
      </c>
      <c r="BG567" s="478"/>
      <c r="BH567" s="432"/>
    </row>
    <row r="568" spans="1:62" ht="35.15" customHeight="1">
      <c r="A568" s="344">
        <f>SUBTOTAL(3,C$11:$C568)</f>
        <v>390</v>
      </c>
      <c r="B568" s="201" t="s">
        <v>705</v>
      </c>
      <c r="C568" s="338" t="s">
        <v>100</v>
      </c>
      <c r="D568" s="350">
        <v>0.05</v>
      </c>
      <c r="E568" s="350">
        <v>0.05</v>
      </c>
      <c r="F568" s="350"/>
      <c r="G568" s="414">
        <f t="shared" si="78"/>
        <v>0.05</v>
      </c>
      <c r="H568" s="413" t="s">
        <v>100</v>
      </c>
      <c r="I568" s="413" t="s">
        <v>100</v>
      </c>
      <c r="J568" s="413"/>
      <c r="K568" s="413" t="str">
        <f t="shared" si="79"/>
        <v xml:space="preserve">DSH, </v>
      </c>
      <c r="L568" s="413" t="str">
        <f t="shared" si="80"/>
        <v>DSH:0,05;</v>
      </c>
      <c r="M568" s="350"/>
      <c r="N568" s="350"/>
      <c r="O568" s="350"/>
      <c r="P568" s="350"/>
      <c r="Q568" s="350"/>
      <c r="R568" s="350"/>
      <c r="S568" s="350"/>
      <c r="T568" s="350"/>
      <c r="U568" s="350"/>
      <c r="V568" s="350"/>
      <c r="W568" s="350"/>
      <c r="X568" s="350"/>
      <c r="Y568" s="350"/>
      <c r="Z568" s="350"/>
      <c r="AA568" s="350"/>
      <c r="AB568" s="350"/>
      <c r="AC568" s="350"/>
      <c r="AD568" s="350"/>
      <c r="AE568" s="350"/>
      <c r="AF568" s="350"/>
      <c r="AG568" s="350"/>
      <c r="AH568" s="350"/>
      <c r="AI568" s="350"/>
      <c r="AJ568" s="350">
        <v>0.05</v>
      </c>
      <c r="AK568" s="350"/>
      <c r="AL568" s="350"/>
      <c r="AM568" s="350"/>
      <c r="AN568" s="350"/>
      <c r="AO568" s="350"/>
      <c r="AP568" s="350"/>
      <c r="AQ568" s="350"/>
      <c r="AR568" s="350"/>
      <c r="AS568" s="350"/>
      <c r="AT568" s="350"/>
      <c r="AU568" s="350"/>
      <c r="AV568" s="350" t="s">
        <v>283</v>
      </c>
      <c r="AW568" s="350" t="s">
        <v>283</v>
      </c>
      <c r="AX568" s="350" t="s">
        <v>706</v>
      </c>
      <c r="AY568" s="356" t="s">
        <v>706</v>
      </c>
      <c r="AZ568" s="352" t="s">
        <v>1393</v>
      </c>
      <c r="BA568" s="350"/>
      <c r="BB568" s="350"/>
      <c r="BC568" s="478" t="s">
        <v>267</v>
      </c>
      <c r="BD568" s="478"/>
      <c r="BE568" s="478"/>
      <c r="BF568" s="478" t="s">
        <v>263</v>
      </c>
      <c r="BG568" s="478"/>
      <c r="BH568" s="350"/>
    </row>
    <row r="569" spans="1:62" ht="35.15" customHeight="1">
      <c r="A569" s="344">
        <f>SUBTOTAL(3,C$11:$C569)</f>
        <v>391</v>
      </c>
      <c r="B569" s="201" t="s">
        <v>707</v>
      </c>
      <c r="C569" s="338" t="s">
        <v>100</v>
      </c>
      <c r="D569" s="350">
        <v>7.0000000000000007E-2</v>
      </c>
      <c r="E569" s="350">
        <v>7.0000000000000007E-2</v>
      </c>
      <c r="F569" s="350"/>
      <c r="G569" s="414">
        <f t="shared" si="78"/>
        <v>7.0000000000000007E-2</v>
      </c>
      <c r="H569" s="413" t="s">
        <v>100</v>
      </c>
      <c r="I569" s="413" t="s">
        <v>100</v>
      </c>
      <c r="J569" s="413"/>
      <c r="K569" s="413" t="str">
        <f t="shared" si="79"/>
        <v xml:space="preserve">DSH, </v>
      </c>
      <c r="L569" s="413" t="str">
        <f t="shared" si="80"/>
        <v>DSH:0,07;</v>
      </c>
      <c r="M569" s="350"/>
      <c r="N569" s="350"/>
      <c r="O569" s="350"/>
      <c r="P569" s="350"/>
      <c r="Q569" s="350"/>
      <c r="R569" s="350"/>
      <c r="S569" s="350"/>
      <c r="T569" s="350"/>
      <c r="U569" s="350"/>
      <c r="V569" s="350"/>
      <c r="W569" s="350"/>
      <c r="X569" s="350"/>
      <c r="Y569" s="350"/>
      <c r="Z569" s="350"/>
      <c r="AA569" s="350"/>
      <c r="AB569" s="350"/>
      <c r="AC569" s="350"/>
      <c r="AD569" s="350"/>
      <c r="AE569" s="350"/>
      <c r="AF569" s="350"/>
      <c r="AG569" s="350"/>
      <c r="AH569" s="350"/>
      <c r="AI569" s="350"/>
      <c r="AJ569" s="350">
        <v>7.0000000000000007E-2</v>
      </c>
      <c r="AK569" s="350"/>
      <c r="AL569" s="350"/>
      <c r="AM569" s="350"/>
      <c r="AN569" s="350"/>
      <c r="AO569" s="350"/>
      <c r="AP569" s="350"/>
      <c r="AQ569" s="350"/>
      <c r="AR569" s="350"/>
      <c r="AS569" s="350"/>
      <c r="AT569" s="350"/>
      <c r="AU569" s="350"/>
      <c r="AV569" s="350" t="s">
        <v>286</v>
      </c>
      <c r="AW569" s="350" t="s">
        <v>286</v>
      </c>
      <c r="AX569" s="350" t="s">
        <v>708</v>
      </c>
      <c r="AY569" s="356" t="s">
        <v>708</v>
      </c>
      <c r="AZ569" s="352" t="s">
        <v>1394</v>
      </c>
      <c r="BA569" s="350"/>
      <c r="BB569" s="350"/>
      <c r="BC569" s="478" t="s">
        <v>267</v>
      </c>
      <c r="BD569" s="478"/>
      <c r="BE569" s="478"/>
      <c r="BF569" s="478" t="s">
        <v>263</v>
      </c>
      <c r="BG569" s="478"/>
      <c r="BH569" s="350"/>
    </row>
    <row r="570" spans="1:62" ht="35.15" customHeight="1">
      <c r="A570" s="344">
        <f>SUBTOTAL(3,C$11:$C570)</f>
        <v>392</v>
      </c>
      <c r="B570" s="201" t="s">
        <v>709</v>
      </c>
      <c r="C570" s="338" t="s">
        <v>100</v>
      </c>
      <c r="D570" s="350">
        <v>0.03</v>
      </c>
      <c r="E570" s="350">
        <v>0.03</v>
      </c>
      <c r="F570" s="350"/>
      <c r="G570" s="414">
        <f t="shared" si="78"/>
        <v>0.03</v>
      </c>
      <c r="H570" s="413" t="s">
        <v>100</v>
      </c>
      <c r="I570" s="413" t="s">
        <v>100</v>
      </c>
      <c r="J570" s="413"/>
      <c r="K570" s="413" t="str">
        <f t="shared" si="79"/>
        <v xml:space="preserve">DSH, </v>
      </c>
      <c r="L570" s="413" t="str">
        <f t="shared" si="80"/>
        <v>DSH:0,03;</v>
      </c>
      <c r="M570" s="350"/>
      <c r="N570" s="350"/>
      <c r="O570" s="350"/>
      <c r="P570" s="350"/>
      <c r="Q570" s="350"/>
      <c r="R570" s="350"/>
      <c r="S570" s="350"/>
      <c r="T570" s="350"/>
      <c r="U570" s="350"/>
      <c r="V570" s="350"/>
      <c r="W570" s="350"/>
      <c r="X570" s="350"/>
      <c r="Y570" s="350"/>
      <c r="Z570" s="350"/>
      <c r="AA570" s="350"/>
      <c r="AB570" s="350"/>
      <c r="AC570" s="350"/>
      <c r="AD570" s="350"/>
      <c r="AE570" s="350"/>
      <c r="AF570" s="350"/>
      <c r="AG570" s="350"/>
      <c r="AH570" s="350"/>
      <c r="AI570" s="350"/>
      <c r="AJ570" s="350">
        <v>0.03</v>
      </c>
      <c r="AK570" s="350"/>
      <c r="AL570" s="350"/>
      <c r="AM570" s="350"/>
      <c r="AN570" s="350"/>
      <c r="AO570" s="350"/>
      <c r="AP570" s="350"/>
      <c r="AQ570" s="350"/>
      <c r="AR570" s="350"/>
      <c r="AS570" s="350"/>
      <c r="AT570" s="350"/>
      <c r="AU570" s="350"/>
      <c r="AV570" s="338" t="s">
        <v>318</v>
      </c>
      <c r="AW570" s="338" t="s">
        <v>318</v>
      </c>
      <c r="AX570" s="350" t="s">
        <v>710</v>
      </c>
      <c r="AY570" s="356" t="s">
        <v>710</v>
      </c>
      <c r="AZ570" s="352" t="s">
        <v>1395</v>
      </c>
      <c r="BA570" s="350"/>
      <c r="BB570" s="350"/>
      <c r="BC570" s="478" t="s">
        <v>316</v>
      </c>
      <c r="BD570" s="478"/>
      <c r="BE570" s="478"/>
      <c r="BF570" s="478" t="s">
        <v>263</v>
      </c>
      <c r="BG570" s="478"/>
      <c r="BH570" s="350"/>
    </row>
    <row r="571" spans="1:62" ht="35.15" customHeight="1">
      <c r="A571" s="344">
        <f>SUBTOTAL(3,C$11:$C571)</f>
        <v>393</v>
      </c>
      <c r="B571" s="201" t="s">
        <v>711</v>
      </c>
      <c r="C571" s="338" t="s">
        <v>100</v>
      </c>
      <c r="D571" s="350">
        <v>0.05</v>
      </c>
      <c r="E571" s="350">
        <v>0.05</v>
      </c>
      <c r="F571" s="350"/>
      <c r="G571" s="414">
        <f t="shared" si="78"/>
        <v>0.05</v>
      </c>
      <c r="H571" s="413" t="s">
        <v>100</v>
      </c>
      <c r="I571" s="413" t="s">
        <v>100</v>
      </c>
      <c r="J571" s="413"/>
      <c r="K571" s="413" t="str">
        <f t="shared" si="79"/>
        <v xml:space="preserve">DSH, </v>
      </c>
      <c r="L571" s="413" t="str">
        <f t="shared" si="80"/>
        <v>DSH:0,05;</v>
      </c>
      <c r="M571" s="350"/>
      <c r="N571" s="350"/>
      <c r="O571" s="350"/>
      <c r="P571" s="350"/>
      <c r="Q571" s="350"/>
      <c r="R571" s="350"/>
      <c r="S571" s="350"/>
      <c r="T571" s="350"/>
      <c r="U571" s="350"/>
      <c r="V571" s="350"/>
      <c r="W571" s="350"/>
      <c r="X571" s="350"/>
      <c r="Y571" s="350"/>
      <c r="Z571" s="350"/>
      <c r="AA571" s="350"/>
      <c r="AB571" s="350"/>
      <c r="AC571" s="350"/>
      <c r="AD571" s="350"/>
      <c r="AE571" s="350"/>
      <c r="AF571" s="350"/>
      <c r="AG571" s="350"/>
      <c r="AH571" s="350"/>
      <c r="AI571" s="350"/>
      <c r="AJ571" s="350">
        <v>0.05</v>
      </c>
      <c r="AK571" s="350"/>
      <c r="AL571" s="350"/>
      <c r="AM571" s="350"/>
      <c r="AN571" s="350"/>
      <c r="AO571" s="350"/>
      <c r="AP571" s="350"/>
      <c r="AQ571" s="350"/>
      <c r="AR571" s="350"/>
      <c r="AS571" s="350"/>
      <c r="AT571" s="350"/>
      <c r="AU571" s="350"/>
      <c r="AV571" s="338" t="s">
        <v>318</v>
      </c>
      <c r="AW571" s="338" t="s">
        <v>318</v>
      </c>
      <c r="AX571" s="350" t="s">
        <v>712</v>
      </c>
      <c r="AY571" s="356" t="s">
        <v>712</v>
      </c>
      <c r="AZ571" s="352" t="s">
        <v>1396</v>
      </c>
      <c r="BA571" s="350"/>
      <c r="BB571" s="350"/>
      <c r="BC571" s="478" t="s">
        <v>316</v>
      </c>
      <c r="BD571" s="478"/>
      <c r="BE571" s="478"/>
      <c r="BF571" s="478" t="s">
        <v>263</v>
      </c>
      <c r="BG571" s="478"/>
      <c r="BH571" s="350"/>
    </row>
    <row r="572" spans="1:62" ht="35.15" customHeight="1">
      <c r="A572" s="344">
        <f>SUBTOTAL(3,C$11:$C572)</f>
        <v>394</v>
      </c>
      <c r="B572" s="201" t="s">
        <v>1397</v>
      </c>
      <c r="C572" s="338" t="s">
        <v>100</v>
      </c>
      <c r="D572" s="350">
        <v>0.02</v>
      </c>
      <c r="E572" s="350">
        <v>0.02</v>
      </c>
      <c r="F572" s="350"/>
      <c r="G572" s="414">
        <v>0.02</v>
      </c>
      <c r="H572" s="413" t="s">
        <v>100</v>
      </c>
      <c r="I572" s="413" t="s">
        <v>100</v>
      </c>
      <c r="J572" s="413"/>
      <c r="K572" s="413"/>
      <c r="L572" s="413"/>
      <c r="M572" s="350"/>
      <c r="N572" s="350"/>
      <c r="O572" s="350"/>
      <c r="P572" s="350"/>
      <c r="Q572" s="350"/>
      <c r="R572" s="350"/>
      <c r="S572" s="350"/>
      <c r="T572" s="350"/>
      <c r="U572" s="350"/>
      <c r="V572" s="350"/>
      <c r="W572" s="350"/>
      <c r="X572" s="350"/>
      <c r="Y572" s="350"/>
      <c r="Z572" s="350"/>
      <c r="AA572" s="350"/>
      <c r="AB572" s="350"/>
      <c r="AC572" s="350"/>
      <c r="AD572" s="350"/>
      <c r="AE572" s="350"/>
      <c r="AF572" s="350"/>
      <c r="AG572" s="350"/>
      <c r="AH572" s="350"/>
      <c r="AI572" s="350"/>
      <c r="AJ572" s="350"/>
      <c r="AK572" s="350"/>
      <c r="AL572" s="350"/>
      <c r="AM572" s="350"/>
      <c r="AN572" s="350"/>
      <c r="AO572" s="350"/>
      <c r="AP572" s="350"/>
      <c r="AQ572" s="350"/>
      <c r="AR572" s="350"/>
      <c r="AS572" s="350"/>
      <c r="AT572" s="350"/>
      <c r="AU572" s="350"/>
      <c r="AV572" s="351" t="s">
        <v>292</v>
      </c>
      <c r="AW572" s="351" t="s">
        <v>292</v>
      </c>
      <c r="AX572" s="350" t="s">
        <v>1751</v>
      </c>
      <c r="AY572" s="356"/>
      <c r="AZ572" s="352"/>
      <c r="BA572" s="350"/>
      <c r="BB572" s="350"/>
      <c r="BC572" s="478"/>
      <c r="BD572" s="478"/>
      <c r="BE572" s="478"/>
      <c r="BF572" s="478"/>
      <c r="BG572" s="478"/>
      <c r="BH572" s="350"/>
    </row>
    <row r="573" spans="1:62" s="179" customFormat="1" ht="24.65" customHeight="1">
      <c r="A573" s="145"/>
      <c r="B573" s="163" t="s">
        <v>1759</v>
      </c>
      <c r="C573" s="164"/>
      <c r="D573" s="368"/>
      <c r="E573" s="368"/>
      <c r="F573" s="368"/>
      <c r="G573" s="410"/>
      <c r="H573" s="411"/>
      <c r="I573" s="411"/>
      <c r="J573" s="411"/>
      <c r="K573" s="411"/>
      <c r="L573" s="411"/>
      <c r="M573" s="368"/>
      <c r="N573" s="368"/>
      <c r="O573" s="368"/>
      <c r="P573" s="368"/>
      <c r="Q573" s="368"/>
      <c r="R573" s="368"/>
      <c r="S573" s="368"/>
      <c r="T573" s="368"/>
      <c r="U573" s="368"/>
      <c r="V573" s="368"/>
      <c r="W573" s="368"/>
      <c r="X573" s="368"/>
      <c r="Y573" s="368"/>
      <c r="Z573" s="368"/>
      <c r="AA573" s="368"/>
      <c r="AB573" s="368"/>
      <c r="AC573" s="368"/>
      <c r="AD573" s="368"/>
      <c r="AE573" s="368"/>
      <c r="AF573" s="368"/>
      <c r="AG573" s="368"/>
      <c r="AH573" s="368"/>
      <c r="AI573" s="368"/>
      <c r="AJ573" s="368"/>
      <c r="AK573" s="368"/>
      <c r="AL573" s="368"/>
      <c r="AM573" s="368"/>
      <c r="AN573" s="368"/>
      <c r="AO573" s="368"/>
      <c r="AP573" s="368"/>
      <c r="AQ573" s="368"/>
      <c r="AR573" s="368"/>
      <c r="AS573" s="368"/>
      <c r="AT573" s="368"/>
      <c r="AU573" s="368"/>
      <c r="AV573" s="368"/>
      <c r="AW573" s="368"/>
      <c r="AX573" s="368"/>
      <c r="AY573" s="257"/>
      <c r="AZ573" s="178"/>
      <c r="BA573" s="368"/>
      <c r="BB573" s="368"/>
      <c r="BC573" s="165"/>
      <c r="BD573" s="165"/>
      <c r="BE573" s="165"/>
      <c r="BF573" s="165"/>
      <c r="BG573" s="165"/>
      <c r="BH573" s="368"/>
      <c r="BI573" s="412"/>
      <c r="BJ573" s="412"/>
    </row>
    <row r="574" spans="1:62" ht="35.15" customHeight="1">
      <c r="A574" s="344">
        <f>SUBTOTAL(3,C$11:$C574)</f>
        <v>395</v>
      </c>
      <c r="B574" s="337" t="s">
        <v>713</v>
      </c>
      <c r="C574" s="338" t="s">
        <v>100</v>
      </c>
      <c r="D574" s="192">
        <v>0.03</v>
      </c>
      <c r="E574" s="361">
        <v>0.03</v>
      </c>
      <c r="F574" s="361"/>
      <c r="G574" s="414">
        <f>SUM(M574:AR574)</f>
        <v>0.03</v>
      </c>
      <c r="H574" s="413" t="s">
        <v>100</v>
      </c>
      <c r="I574" s="413" t="s">
        <v>100</v>
      </c>
      <c r="J574" s="413"/>
      <c r="K574" s="413" t="str">
        <f t="shared" ref="K574:K584" si="81">IF(M574&lt;&gt;0,$M$5&amp;", ","")&amp;IF(N574&lt;&gt;0,$N$5&amp;", ","")&amp;IF(O574&lt;&gt;0,O$5&amp;", ","")&amp;IF(P574&lt;&gt;0,P$5&amp;", ","")&amp;IF(Q574&lt;&gt;0,Q$5&amp;", ","")&amp;IF(R574&lt;&gt;0,R$5&amp;", ","")&amp;IF(S574&lt;&gt;0,S$5&amp;", ","")&amp;IF(T574&lt;&gt;0,T$5&amp;", ","")&amp;IF(U574&lt;&gt;0,U$5&amp;", ","")&amp;IF(V574&lt;&gt;0,V$5&amp;", ","")&amp;IF(W574&lt;&gt;0,W$5&amp;", ","")&amp;IF(X574&lt;&gt;0,X$5&amp;", ","")&amp;IF(Y574&lt;&gt;0,Y$5&amp;", ","")&amp;IF(Z574&lt;&gt;0,Z$5&amp;", ","")&amp;IF(AA574&lt;&gt;0,AA$5&amp;", ","")&amp;IF(AB574&lt;&gt;0,AB$5&amp;", ","")&amp;IF(AC574&lt;&gt;0,AC$5&amp;", ","")&amp;IF(AD574&lt;&gt;0,AD$5&amp;", ","")&amp;IF(AE574&lt;&gt;0,AE$5&amp;", ","")&amp;IF(AF574&lt;&gt;0,AF$5&amp;", ","")&amp;IF(AG574&lt;&gt;0,AG$5&amp;", ","")&amp;IF(AH574&lt;&gt;0,AH$5&amp;", ","")&amp;IF(AI574&lt;&gt;0,AI$5&amp;", ","")&amp;IF(AJ574&lt;&gt;0,AJ$5&amp;", ","")&amp;IF(AK574&lt;&gt;0,AK$5&amp;", ","")&amp;IF(AL574&lt;&gt;0,AL$5&amp;", ","")&amp;IF(AM574&lt;&gt;0,AM$5&amp;", ","")&amp;IF(AN574&lt;&gt;0,AN$5&amp;", ","")&amp;IF(AO574&lt;&gt;0,AO$5&amp;", ","")&amp;IF(AP574&lt;&gt;0,AP$5&amp;", ","")&amp;IF(AQ574&lt;&gt;0,AQ$5&amp;", ","")&amp;IF(AR574&lt;&gt;0,AR$5,"")&amp;IF(AS574&lt;&gt;0,AS$5,"")&amp;IF(AT574&lt;&gt;0,AT$5,"")&amp;IF(AU574&lt;&gt;0,AU$5,"")</f>
        <v xml:space="preserve">DSH, </v>
      </c>
      <c r="L574" s="413" t="str">
        <f t="shared" ref="L574:L584" si="82">IF(M574="","",$M$5&amp;":"&amp;M574&amp;";")&amp;IF(N574="","",$N$5&amp;":"&amp;N574&amp;";")&amp;IF(O574="","",$O$5&amp;":"&amp;O574&amp;";")&amp;IF(P574="","",$P$5&amp;":"&amp;P574&amp;";")&amp;IF(Q574="","",$Q$5&amp;":"&amp;Q574&amp;";")&amp;IF(R574="","",$R$5&amp;":"&amp;R574&amp;";")&amp;IF(S574="","",$S$5&amp;":"&amp;S574&amp;";")&amp;IF(T574="","",$T$5&amp;":"&amp;T574&amp;";")&amp;IF(U574="","",$U$5&amp;":"&amp;U574&amp;";")&amp;IF(V574="","",$V$5&amp;":"&amp;V574&amp;";")&amp;IF(W574="","",$W$5&amp;":"&amp;W574&amp;";")&amp;IF(X574="","",$X$5&amp;":"&amp;X574&amp;";")&amp;IF(Y574="","",$Y$5&amp;":"&amp;Y574&amp;";")&amp;IF(Z574="","",$Z$5&amp;":"&amp;Z574&amp;";")&amp;IF(AA574="","",$AA$5&amp;":"&amp;AA574&amp;";")&amp;IF(AB574="","",$AB$5&amp;":"&amp;AB574&amp;";")&amp;IF(AC574="","",$AC$5&amp;":"&amp;AC574&amp;";")&amp;IF(AD574="","",$AD$5&amp;":"&amp;AD574&amp;";")&amp;IF(AE574="","",$AE$5&amp;":"&amp;AE574&amp;";")&amp;IF(AF574="","",$AF$5&amp;":"&amp;AF574&amp;";")&amp;IF(AG574="","",$AG$5&amp;":"&amp;AG574&amp;";")&amp;IF(AH574="","",$AH$5&amp;":"&amp;AH574&amp;";")&amp;IF(AI574="","",$AI$5&amp;":"&amp;AI574&amp;";")&amp;IF(AJ574="","",$AJ$5&amp;":"&amp;AJ574&amp;";")&amp;IF(AK574="","",$AK$5&amp;":"&amp;AK574&amp;";")&amp;IF(AL574="","",$AL$5&amp;":"&amp;AL574&amp;";")&amp;IF(AM574="","",$AM$5&amp;":"&amp;AM574&amp;";")&amp;IF(AN574="","",$AN$5&amp;":"&amp;AN574&amp;";")&amp;IF(AO574="","",$AO$5&amp;":"&amp;AO574&amp;";")&amp;IF(AP574="","",$AP$5&amp;":"&amp;AP574&amp;";")&amp;IF(AQ574="","",$AQ$5&amp;":"&amp;AQ574&amp;";")&amp;IF(AR574="","",$AR$5&amp;":"&amp;AR574&amp;";")&amp;IF(AS574="","",$AS$5&amp;":"&amp;AS574&amp;";")&amp;IF(AT574="","",$AT$5&amp;":"&amp;AT574&amp;";")&amp;IF(AU574="","",$AU$5&amp;":"&amp;AU574&amp;";")</f>
        <v>DSH:0,03;</v>
      </c>
      <c r="M574" s="361"/>
      <c r="N574" s="361"/>
      <c r="O574" s="361"/>
      <c r="P574" s="361"/>
      <c r="Q574" s="361"/>
      <c r="R574" s="361"/>
      <c r="S574" s="361"/>
      <c r="T574" s="361"/>
      <c r="U574" s="361"/>
      <c r="V574" s="361"/>
      <c r="W574" s="361"/>
      <c r="X574" s="361"/>
      <c r="Y574" s="361"/>
      <c r="Z574" s="361"/>
      <c r="AA574" s="361"/>
      <c r="AB574" s="361"/>
      <c r="AC574" s="361"/>
      <c r="AD574" s="361"/>
      <c r="AE574" s="361"/>
      <c r="AF574" s="361"/>
      <c r="AG574" s="361"/>
      <c r="AH574" s="361"/>
      <c r="AI574" s="361"/>
      <c r="AJ574" s="361">
        <v>0.03</v>
      </c>
      <c r="AK574" s="361"/>
      <c r="AL574" s="361"/>
      <c r="AM574" s="361"/>
      <c r="AN574" s="361"/>
      <c r="AO574" s="361"/>
      <c r="AP574" s="361"/>
      <c r="AQ574" s="361"/>
      <c r="AR574" s="361"/>
      <c r="AS574" s="361"/>
      <c r="AT574" s="361"/>
      <c r="AU574" s="361"/>
      <c r="AV574" s="338" t="s">
        <v>309</v>
      </c>
      <c r="AW574" s="338" t="s">
        <v>309</v>
      </c>
      <c r="AX574" s="350" t="s">
        <v>714</v>
      </c>
      <c r="AY574" s="356" t="s">
        <v>714</v>
      </c>
      <c r="AZ574" s="352" t="s">
        <v>1398</v>
      </c>
      <c r="BA574" s="350" t="s">
        <v>357</v>
      </c>
      <c r="BB574" s="350"/>
      <c r="BC574" s="195" t="s">
        <v>358</v>
      </c>
      <c r="BD574" s="195"/>
      <c r="BE574" s="195"/>
      <c r="BF574" s="195"/>
      <c r="BG574" s="195"/>
      <c r="BH574" s="350"/>
    </row>
    <row r="575" spans="1:62" ht="35.15" customHeight="1">
      <c r="A575" s="344">
        <f>SUBTOTAL(3,C$11:$C575)</f>
        <v>396</v>
      </c>
      <c r="B575" s="337" t="s">
        <v>715</v>
      </c>
      <c r="C575" s="338" t="s">
        <v>100</v>
      </c>
      <c r="D575" s="192">
        <v>0.05</v>
      </c>
      <c r="E575" s="361">
        <v>0.05</v>
      </c>
      <c r="F575" s="361"/>
      <c r="G575" s="414">
        <f>SUM(M575:AR575)</f>
        <v>0.05</v>
      </c>
      <c r="H575" s="413" t="s">
        <v>100</v>
      </c>
      <c r="I575" s="413" t="s">
        <v>100</v>
      </c>
      <c r="J575" s="413"/>
      <c r="K575" s="413" t="str">
        <f t="shared" si="81"/>
        <v xml:space="preserve">DSH, </v>
      </c>
      <c r="L575" s="413" t="str">
        <f t="shared" si="82"/>
        <v>DSH:0,05;</v>
      </c>
      <c r="M575" s="361"/>
      <c r="N575" s="361"/>
      <c r="O575" s="361"/>
      <c r="P575" s="361"/>
      <c r="Q575" s="361"/>
      <c r="R575" s="361"/>
      <c r="S575" s="361"/>
      <c r="T575" s="361"/>
      <c r="U575" s="361"/>
      <c r="V575" s="361"/>
      <c r="W575" s="361"/>
      <c r="X575" s="361"/>
      <c r="Y575" s="361"/>
      <c r="Z575" s="361"/>
      <c r="AA575" s="361"/>
      <c r="AB575" s="361"/>
      <c r="AC575" s="361"/>
      <c r="AD575" s="361"/>
      <c r="AE575" s="361"/>
      <c r="AF575" s="361"/>
      <c r="AG575" s="361"/>
      <c r="AH575" s="361"/>
      <c r="AI575" s="361"/>
      <c r="AJ575" s="361">
        <v>0.05</v>
      </c>
      <c r="AK575" s="361"/>
      <c r="AL575" s="361"/>
      <c r="AM575" s="361"/>
      <c r="AN575" s="361"/>
      <c r="AO575" s="361"/>
      <c r="AP575" s="361"/>
      <c r="AQ575" s="361"/>
      <c r="AR575" s="361"/>
      <c r="AS575" s="361"/>
      <c r="AT575" s="361"/>
      <c r="AU575" s="361"/>
      <c r="AV575" s="338" t="s">
        <v>309</v>
      </c>
      <c r="AW575" s="338" t="s">
        <v>309</v>
      </c>
      <c r="AX575" s="350" t="s">
        <v>716</v>
      </c>
      <c r="AY575" s="356" t="s">
        <v>716</v>
      </c>
      <c r="AZ575" s="352" t="s">
        <v>1399</v>
      </c>
      <c r="BA575" s="350" t="s">
        <v>357</v>
      </c>
      <c r="BB575" s="350"/>
      <c r="BC575" s="195" t="s">
        <v>358</v>
      </c>
      <c r="BD575" s="195"/>
      <c r="BE575" s="195"/>
      <c r="BF575" s="195"/>
      <c r="BG575" s="195"/>
      <c r="BH575" s="350"/>
    </row>
    <row r="576" spans="1:62" ht="32.25" customHeight="1">
      <c r="A576" s="151" t="s">
        <v>1709</v>
      </c>
      <c r="B576" s="159" t="s">
        <v>90</v>
      </c>
      <c r="C576" s="158"/>
      <c r="D576" s="350"/>
      <c r="E576" s="350"/>
      <c r="F576" s="350"/>
      <c r="G576" s="414"/>
      <c r="H576" s="413"/>
      <c r="I576" s="413"/>
      <c r="J576" s="413"/>
      <c r="K576" s="413" t="str">
        <f t="shared" si="81"/>
        <v/>
      </c>
      <c r="L576" s="413" t="str">
        <f t="shared" si="82"/>
        <v/>
      </c>
      <c r="M576" s="350"/>
      <c r="N576" s="350"/>
      <c r="O576" s="350"/>
      <c r="P576" s="350"/>
      <c r="Q576" s="350"/>
      <c r="R576" s="350"/>
      <c r="S576" s="350"/>
      <c r="T576" s="350"/>
      <c r="U576" s="350"/>
      <c r="V576" s="350"/>
      <c r="W576" s="350"/>
      <c r="X576" s="350"/>
      <c r="Y576" s="350"/>
      <c r="Z576" s="350"/>
      <c r="AA576" s="350"/>
      <c r="AB576" s="350"/>
      <c r="AC576" s="350"/>
      <c r="AD576" s="350"/>
      <c r="AE576" s="350"/>
      <c r="AF576" s="350"/>
      <c r="AG576" s="350"/>
      <c r="AH576" s="350"/>
      <c r="AI576" s="350"/>
      <c r="AJ576" s="350"/>
      <c r="AK576" s="350"/>
      <c r="AL576" s="350"/>
      <c r="AM576" s="350"/>
      <c r="AN576" s="350"/>
      <c r="AO576" s="350"/>
      <c r="AP576" s="350"/>
      <c r="AQ576" s="350"/>
      <c r="AR576" s="350"/>
      <c r="AS576" s="350"/>
      <c r="AT576" s="350"/>
      <c r="AU576" s="350"/>
      <c r="AV576" s="350"/>
      <c r="AW576" s="350"/>
      <c r="AX576" s="350"/>
      <c r="AY576" s="356"/>
      <c r="AZ576" s="352"/>
      <c r="BA576" s="350"/>
      <c r="BB576" s="350"/>
      <c r="BC576" s="195"/>
      <c r="BD576" s="195"/>
      <c r="BE576" s="195"/>
      <c r="BF576" s="195"/>
      <c r="BG576" s="195"/>
      <c r="BH576" s="350"/>
    </row>
    <row r="577" spans="1:62" s="179" customFormat="1" ht="24.65" customHeight="1">
      <c r="A577" s="145"/>
      <c r="B577" s="163" t="s">
        <v>1757</v>
      </c>
      <c r="C577" s="164"/>
      <c r="D577" s="368"/>
      <c r="E577" s="368"/>
      <c r="F577" s="368"/>
      <c r="G577" s="410"/>
      <c r="H577" s="411"/>
      <c r="I577" s="411"/>
      <c r="J577" s="411"/>
      <c r="K577" s="411"/>
      <c r="L577" s="411"/>
      <c r="M577" s="368"/>
      <c r="N577" s="368"/>
      <c r="O577" s="368"/>
      <c r="P577" s="368"/>
      <c r="Q577" s="368"/>
      <c r="R577" s="368"/>
      <c r="S577" s="368"/>
      <c r="T577" s="368"/>
      <c r="U577" s="368"/>
      <c r="V577" s="368"/>
      <c r="W577" s="368"/>
      <c r="X577" s="368"/>
      <c r="Y577" s="368"/>
      <c r="Z577" s="368"/>
      <c r="AA577" s="368"/>
      <c r="AB577" s="368"/>
      <c r="AC577" s="368"/>
      <c r="AD577" s="368"/>
      <c r="AE577" s="368"/>
      <c r="AF577" s="368"/>
      <c r="AG577" s="368"/>
      <c r="AH577" s="368"/>
      <c r="AI577" s="368"/>
      <c r="AJ577" s="368"/>
      <c r="AK577" s="368"/>
      <c r="AL577" s="368"/>
      <c r="AM577" s="368"/>
      <c r="AN577" s="368"/>
      <c r="AO577" s="368"/>
      <c r="AP577" s="368"/>
      <c r="AQ577" s="368"/>
      <c r="AR577" s="368"/>
      <c r="AS577" s="368"/>
      <c r="AT577" s="368"/>
      <c r="AU577" s="368"/>
      <c r="AV577" s="368"/>
      <c r="AW577" s="368"/>
      <c r="AX577" s="368"/>
      <c r="AY577" s="257"/>
      <c r="AZ577" s="178"/>
      <c r="BA577" s="368"/>
      <c r="BB577" s="368"/>
      <c r="BC577" s="165"/>
      <c r="BD577" s="165"/>
      <c r="BE577" s="165"/>
      <c r="BF577" s="165"/>
      <c r="BG577" s="165"/>
      <c r="BH577" s="368"/>
      <c r="BI577" s="412"/>
      <c r="BJ577" s="412"/>
    </row>
    <row r="578" spans="1:62" ht="40" customHeight="1">
      <c r="A578" s="348">
        <f>SUBTOTAL(3,C$11:$C578)</f>
        <v>397</v>
      </c>
      <c r="B578" s="337" t="s">
        <v>840</v>
      </c>
      <c r="C578" s="338" t="s">
        <v>24</v>
      </c>
      <c r="D578" s="339">
        <v>3.4</v>
      </c>
      <c r="E578" s="339">
        <v>3.4</v>
      </c>
      <c r="F578" s="540"/>
      <c r="G578" s="414">
        <f>SUM(M578:AR578)</f>
        <v>3.4</v>
      </c>
      <c r="H578" s="413" t="s">
        <v>24</v>
      </c>
      <c r="I578" s="413" t="s">
        <v>24</v>
      </c>
      <c r="J578" s="413"/>
      <c r="K578" s="413" t="str">
        <f t="shared" si="81"/>
        <v xml:space="preserve">TSC, </v>
      </c>
      <c r="L578" s="413" t="str">
        <f t="shared" si="82"/>
        <v>TSC:3,4;</v>
      </c>
      <c r="M578" s="540"/>
      <c r="N578" s="540"/>
      <c r="O578" s="540"/>
      <c r="P578" s="540"/>
      <c r="Q578" s="540"/>
      <c r="R578" s="540"/>
      <c r="S578" s="540"/>
      <c r="T578" s="540"/>
      <c r="U578" s="540"/>
      <c r="V578" s="540"/>
      <c r="W578" s="540"/>
      <c r="X578" s="540"/>
      <c r="Y578" s="540"/>
      <c r="Z578" s="540"/>
      <c r="AA578" s="540"/>
      <c r="AB578" s="540"/>
      <c r="AC578" s="540"/>
      <c r="AD578" s="540"/>
      <c r="AE578" s="540"/>
      <c r="AF578" s="540"/>
      <c r="AG578" s="540"/>
      <c r="AH578" s="540"/>
      <c r="AI578" s="540"/>
      <c r="AJ578" s="540"/>
      <c r="AK578" s="540"/>
      <c r="AL578" s="540"/>
      <c r="AM578" s="540"/>
      <c r="AN578" s="541">
        <v>3.4</v>
      </c>
      <c r="AO578" s="540"/>
      <c r="AP578" s="540"/>
      <c r="AQ578" s="540"/>
      <c r="AR578" s="540"/>
      <c r="AS578" s="540"/>
      <c r="AT578" s="540"/>
      <c r="AU578" s="540"/>
      <c r="AV578" s="338" t="s">
        <v>217</v>
      </c>
      <c r="AW578" s="338" t="s">
        <v>217</v>
      </c>
      <c r="AX578" s="350" t="s">
        <v>839</v>
      </c>
      <c r="AY578" s="356" t="s">
        <v>839</v>
      </c>
      <c r="AZ578" s="352" t="s">
        <v>1675</v>
      </c>
      <c r="BA578" s="350"/>
      <c r="BB578" s="350"/>
      <c r="BC578" s="195" t="s">
        <v>270</v>
      </c>
      <c r="BD578" s="195"/>
      <c r="BE578" s="195"/>
      <c r="BF578" s="195"/>
      <c r="BG578" s="195" t="s">
        <v>263</v>
      </c>
      <c r="BH578" s="350"/>
    </row>
    <row r="579" spans="1:62" ht="76">
      <c r="A579" s="348">
        <f>SUBTOTAL(3,C$11:$C579)</f>
        <v>398</v>
      </c>
      <c r="B579" s="337" t="s">
        <v>848</v>
      </c>
      <c r="C579" s="338" t="s">
        <v>24</v>
      </c>
      <c r="D579" s="339">
        <v>0.56999999999999995</v>
      </c>
      <c r="E579" s="339">
        <v>0.56999999999999995</v>
      </c>
      <c r="F579" s="339"/>
      <c r="G579" s="414">
        <f>SUM(M579:AR579)</f>
        <v>0.56999999999999995</v>
      </c>
      <c r="H579" s="413" t="s">
        <v>24</v>
      </c>
      <c r="I579" s="413" t="s">
        <v>24</v>
      </c>
      <c r="J579" s="413"/>
      <c r="K579" s="413" t="str">
        <f t="shared" si="81"/>
        <v xml:space="preserve">TSC, </v>
      </c>
      <c r="L579" s="413" t="str">
        <f t="shared" si="82"/>
        <v>TSC:0,57;</v>
      </c>
      <c r="M579" s="339"/>
      <c r="N579" s="339"/>
      <c r="O579" s="339"/>
      <c r="P579" s="339"/>
      <c r="Q579" s="339"/>
      <c r="R579" s="339"/>
      <c r="S579" s="339"/>
      <c r="T579" s="339"/>
      <c r="U579" s="339"/>
      <c r="V579" s="339"/>
      <c r="W579" s="339"/>
      <c r="X579" s="339"/>
      <c r="Y579" s="339"/>
      <c r="Z579" s="339"/>
      <c r="AA579" s="339"/>
      <c r="AB579" s="339"/>
      <c r="AC579" s="339"/>
      <c r="AD579" s="339"/>
      <c r="AE579" s="339"/>
      <c r="AF579" s="339"/>
      <c r="AG579" s="339"/>
      <c r="AH579" s="339"/>
      <c r="AI579" s="339"/>
      <c r="AJ579" s="339"/>
      <c r="AK579" s="339"/>
      <c r="AL579" s="339"/>
      <c r="AM579" s="339"/>
      <c r="AN579" s="339">
        <v>0.56999999999999995</v>
      </c>
      <c r="AO579" s="339"/>
      <c r="AP579" s="339"/>
      <c r="AQ579" s="339"/>
      <c r="AR579" s="339"/>
      <c r="AS579" s="339"/>
      <c r="AT579" s="339"/>
      <c r="AU579" s="339"/>
      <c r="AV579" s="338" t="s">
        <v>370</v>
      </c>
      <c r="AW579" s="338" t="s">
        <v>370</v>
      </c>
      <c r="AX579" s="350" t="s">
        <v>849</v>
      </c>
      <c r="AY579" s="356" t="s">
        <v>849</v>
      </c>
      <c r="AZ579" s="352" t="s">
        <v>1683</v>
      </c>
      <c r="BA579" s="350"/>
      <c r="BB579" s="350"/>
      <c r="BC579" s="195" t="s">
        <v>316</v>
      </c>
      <c r="BD579" s="195"/>
      <c r="BE579" s="195"/>
      <c r="BF579" s="195" t="s">
        <v>263</v>
      </c>
      <c r="BG579" s="195"/>
      <c r="BH579" s="350"/>
    </row>
    <row r="580" spans="1:62" ht="40" customHeight="1">
      <c r="A580" s="348">
        <f>SUBTOTAL(3,C$11:$C580)</f>
        <v>399</v>
      </c>
      <c r="B580" s="337" t="s">
        <v>850</v>
      </c>
      <c r="C580" s="338" t="s">
        <v>24</v>
      </c>
      <c r="D580" s="339">
        <v>1.5</v>
      </c>
      <c r="E580" s="339">
        <v>1.5</v>
      </c>
      <c r="F580" s="339"/>
      <c r="G580" s="414">
        <f>SUM(M580:AR580)</f>
        <v>1.5</v>
      </c>
      <c r="H580" s="413" t="s">
        <v>24</v>
      </c>
      <c r="I580" s="413" t="s">
        <v>24</v>
      </c>
      <c r="J580" s="413"/>
      <c r="K580" s="413" t="str">
        <f t="shared" si="81"/>
        <v xml:space="preserve">TSC, </v>
      </c>
      <c r="L580" s="413" t="str">
        <f t="shared" si="82"/>
        <v>TSC:1,5;</v>
      </c>
      <c r="M580" s="339"/>
      <c r="N580" s="339"/>
      <c r="O580" s="339"/>
      <c r="P580" s="339"/>
      <c r="Q580" s="339"/>
      <c r="R580" s="339"/>
      <c r="S580" s="339"/>
      <c r="T580" s="339"/>
      <c r="U580" s="339"/>
      <c r="V580" s="339"/>
      <c r="W580" s="339"/>
      <c r="X580" s="339"/>
      <c r="Y580" s="339"/>
      <c r="Z580" s="339"/>
      <c r="AA580" s="339"/>
      <c r="AB580" s="339"/>
      <c r="AC580" s="339"/>
      <c r="AD580" s="339"/>
      <c r="AE580" s="339"/>
      <c r="AF580" s="339"/>
      <c r="AG580" s="339"/>
      <c r="AH580" s="339"/>
      <c r="AI580" s="339"/>
      <c r="AJ580" s="339"/>
      <c r="AK580" s="339"/>
      <c r="AL580" s="339"/>
      <c r="AM580" s="339"/>
      <c r="AN580" s="339">
        <v>1.5</v>
      </c>
      <c r="AO580" s="339"/>
      <c r="AP580" s="339"/>
      <c r="AQ580" s="339"/>
      <c r="AR580" s="339"/>
      <c r="AS580" s="339"/>
      <c r="AT580" s="339"/>
      <c r="AU580" s="339"/>
      <c r="AV580" s="338" t="s">
        <v>280</v>
      </c>
      <c r="AW580" s="338" t="s">
        <v>280</v>
      </c>
      <c r="AX580" s="350" t="s">
        <v>851</v>
      </c>
      <c r="AY580" s="356" t="s">
        <v>851</v>
      </c>
      <c r="AZ580" s="352" t="s">
        <v>1684</v>
      </c>
      <c r="BA580" s="350"/>
      <c r="BB580" s="350"/>
      <c r="BC580" s="195" t="s">
        <v>316</v>
      </c>
      <c r="BD580" s="195"/>
      <c r="BE580" s="195"/>
      <c r="BF580" s="195" t="s">
        <v>263</v>
      </c>
      <c r="BG580" s="195"/>
      <c r="BH580" s="350"/>
    </row>
    <row r="581" spans="1:62" ht="40" customHeight="1">
      <c r="A581" s="348">
        <f>SUBTOTAL(3,C$11:$C581)</f>
        <v>400</v>
      </c>
      <c r="B581" s="337" t="s">
        <v>852</v>
      </c>
      <c r="C581" s="338" t="s">
        <v>24</v>
      </c>
      <c r="D581" s="339">
        <v>0.26</v>
      </c>
      <c r="E581" s="339">
        <v>0.26</v>
      </c>
      <c r="F581" s="339"/>
      <c r="G581" s="414">
        <f>SUM(M581:AR581)</f>
        <v>0.26</v>
      </c>
      <c r="H581" s="413" t="s">
        <v>24</v>
      </c>
      <c r="I581" s="413" t="s">
        <v>24</v>
      </c>
      <c r="J581" s="413"/>
      <c r="K581" s="413" t="str">
        <f t="shared" si="81"/>
        <v xml:space="preserve">TSC, </v>
      </c>
      <c r="L581" s="413" t="str">
        <f t="shared" si="82"/>
        <v>TSC:0,26;</v>
      </c>
      <c r="M581" s="339"/>
      <c r="N581" s="339"/>
      <c r="O581" s="339"/>
      <c r="P581" s="339"/>
      <c r="Q581" s="339"/>
      <c r="R581" s="339"/>
      <c r="S581" s="339"/>
      <c r="T581" s="339"/>
      <c r="U581" s="339"/>
      <c r="V581" s="339"/>
      <c r="W581" s="339"/>
      <c r="X581" s="339"/>
      <c r="Y581" s="339"/>
      <c r="Z581" s="339"/>
      <c r="AA581" s="339"/>
      <c r="AB581" s="339"/>
      <c r="AC581" s="339"/>
      <c r="AD581" s="339"/>
      <c r="AE581" s="339"/>
      <c r="AF581" s="339"/>
      <c r="AG581" s="339"/>
      <c r="AH581" s="339"/>
      <c r="AI581" s="339"/>
      <c r="AJ581" s="339"/>
      <c r="AK581" s="339"/>
      <c r="AL581" s="339"/>
      <c r="AM581" s="339"/>
      <c r="AN581" s="339">
        <v>0.26</v>
      </c>
      <c r="AO581" s="339"/>
      <c r="AP581" s="339"/>
      <c r="AQ581" s="339"/>
      <c r="AR581" s="339"/>
      <c r="AS581" s="339"/>
      <c r="AT581" s="339"/>
      <c r="AU581" s="339"/>
      <c r="AV581" s="338" t="s">
        <v>286</v>
      </c>
      <c r="AW581" s="338" t="s">
        <v>286</v>
      </c>
      <c r="AX581" s="350" t="s">
        <v>853</v>
      </c>
      <c r="AY581" s="356" t="s">
        <v>853</v>
      </c>
      <c r="AZ581" s="352" t="s">
        <v>1685</v>
      </c>
      <c r="BA581" s="350"/>
      <c r="BB581" s="350"/>
      <c r="BC581" s="195" t="s">
        <v>316</v>
      </c>
      <c r="BD581" s="195"/>
      <c r="BE581" s="195"/>
      <c r="BF581" s="195" t="s">
        <v>263</v>
      </c>
      <c r="BG581" s="195"/>
      <c r="BH581" s="350"/>
    </row>
    <row r="582" spans="1:62" s="179" customFormat="1" ht="24.65" customHeight="1">
      <c r="A582" s="145"/>
      <c r="B582" s="163" t="s">
        <v>1758</v>
      </c>
      <c r="C582" s="164"/>
      <c r="D582" s="368"/>
      <c r="E582" s="368"/>
      <c r="F582" s="368"/>
      <c r="G582" s="410"/>
      <c r="H582" s="411"/>
      <c r="I582" s="411"/>
      <c r="J582" s="411"/>
      <c r="K582" s="411"/>
      <c r="L582" s="411"/>
      <c r="M582" s="368"/>
      <c r="N582" s="368"/>
      <c r="O582" s="368"/>
      <c r="P582" s="368"/>
      <c r="Q582" s="368"/>
      <c r="R582" s="368"/>
      <c r="S582" s="368"/>
      <c r="T582" s="368"/>
      <c r="U582" s="368"/>
      <c r="V582" s="368"/>
      <c r="W582" s="368"/>
      <c r="X582" s="368"/>
      <c r="Y582" s="368"/>
      <c r="Z582" s="368"/>
      <c r="AA582" s="368"/>
      <c r="AB582" s="368"/>
      <c r="AC582" s="368"/>
      <c r="AD582" s="368"/>
      <c r="AE582" s="368"/>
      <c r="AF582" s="368"/>
      <c r="AG582" s="368"/>
      <c r="AH582" s="368"/>
      <c r="AI582" s="368"/>
      <c r="AJ582" s="368"/>
      <c r="AK582" s="368"/>
      <c r="AL582" s="368"/>
      <c r="AM582" s="368"/>
      <c r="AN582" s="368"/>
      <c r="AO582" s="368"/>
      <c r="AP582" s="368"/>
      <c r="AQ582" s="368"/>
      <c r="AR582" s="368"/>
      <c r="AS582" s="368"/>
      <c r="AT582" s="368"/>
      <c r="AU582" s="368"/>
      <c r="AV582" s="368"/>
      <c r="AW582" s="368"/>
      <c r="AX582" s="368"/>
      <c r="AY582" s="257"/>
      <c r="AZ582" s="178"/>
      <c r="BA582" s="368"/>
      <c r="BB582" s="368"/>
      <c r="BC582" s="165"/>
      <c r="BD582" s="165"/>
      <c r="BE582" s="165"/>
      <c r="BF582" s="165"/>
      <c r="BG582" s="165"/>
      <c r="BH582" s="368"/>
      <c r="BI582" s="412"/>
      <c r="BJ582" s="412"/>
    </row>
    <row r="583" spans="1:62" s="430" customFormat="1" ht="40" customHeight="1">
      <c r="A583" s="416"/>
      <c r="B583" s="542" t="s">
        <v>1945</v>
      </c>
      <c r="C583" s="422" t="s">
        <v>24</v>
      </c>
      <c r="D583" s="446">
        <v>0.05</v>
      </c>
      <c r="E583" s="446">
        <v>0.05</v>
      </c>
      <c r="F583" s="446">
        <v>0.05</v>
      </c>
      <c r="G583" s="421"/>
      <c r="H583" s="420"/>
      <c r="I583" s="420"/>
      <c r="J583" s="420"/>
      <c r="K583" s="420"/>
      <c r="L583" s="420"/>
      <c r="M583" s="446"/>
      <c r="N583" s="446"/>
      <c r="O583" s="446"/>
      <c r="P583" s="446"/>
      <c r="Q583" s="446"/>
      <c r="R583" s="446"/>
      <c r="S583" s="446"/>
      <c r="T583" s="446"/>
      <c r="U583" s="446"/>
      <c r="V583" s="446"/>
      <c r="W583" s="446"/>
      <c r="X583" s="446"/>
      <c r="Y583" s="446"/>
      <c r="Z583" s="446"/>
      <c r="AA583" s="446"/>
      <c r="AB583" s="446"/>
      <c r="AC583" s="446"/>
      <c r="AD583" s="446"/>
      <c r="AE583" s="446"/>
      <c r="AF583" s="446"/>
      <c r="AG583" s="446"/>
      <c r="AH583" s="446"/>
      <c r="AI583" s="446"/>
      <c r="AJ583" s="446"/>
      <c r="AK583" s="446"/>
      <c r="AL583" s="446"/>
      <c r="AM583" s="446"/>
      <c r="AN583" s="446"/>
      <c r="AO583" s="446"/>
      <c r="AP583" s="446"/>
      <c r="AQ583" s="446"/>
      <c r="AR583" s="446"/>
      <c r="AS583" s="446"/>
      <c r="AT583" s="446"/>
      <c r="AU583" s="446"/>
      <c r="AV583" s="422" t="s">
        <v>309</v>
      </c>
      <c r="AW583" s="422" t="s">
        <v>309</v>
      </c>
      <c r="AX583" s="523"/>
      <c r="AY583" s="524"/>
      <c r="AZ583" s="525"/>
      <c r="BA583" s="523"/>
      <c r="BB583" s="523"/>
      <c r="BC583" s="487"/>
      <c r="BD583" s="487"/>
      <c r="BE583" s="487"/>
      <c r="BF583" s="487"/>
      <c r="BG583" s="487"/>
      <c r="BH583" s="523"/>
      <c r="BI583" s="429" t="s">
        <v>1859</v>
      </c>
      <c r="BJ583" s="429"/>
    </row>
    <row r="584" spans="1:62" ht="37.5" customHeight="1">
      <c r="A584" s="151" t="s">
        <v>982</v>
      </c>
      <c r="B584" s="159" t="s">
        <v>91</v>
      </c>
      <c r="C584" s="158"/>
      <c r="D584" s="350"/>
      <c r="E584" s="350"/>
      <c r="F584" s="350"/>
      <c r="G584" s="414"/>
      <c r="H584" s="413"/>
      <c r="I584" s="413"/>
      <c r="J584" s="413"/>
      <c r="K584" s="413" t="str">
        <f t="shared" si="81"/>
        <v/>
      </c>
      <c r="L584" s="413" t="str">
        <f t="shared" si="82"/>
        <v/>
      </c>
      <c r="M584" s="350"/>
      <c r="N584" s="350"/>
      <c r="O584" s="350"/>
      <c r="P584" s="350"/>
      <c r="Q584" s="350"/>
      <c r="R584" s="350"/>
      <c r="S584" s="350"/>
      <c r="T584" s="350"/>
      <c r="U584" s="350"/>
      <c r="V584" s="350"/>
      <c r="W584" s="350"/>
      <c r="X584" s="350"/>
      <c r="Y584" s="350"/>
      <c r="Z584" s="350"/>
      <c r="AA584" s="350"/>
      <c r="AB584" s="350"/>
      <c r="AC584" s="350"/>
      <c r="AD584" s="350"/>
      <c r="AE584" s="350"/>
      <c r="AF584" s="350"/>
      <c r="AG584" s="350"/>
      <c r="AH584" s="350"/>
      <c r="AI584" s="350"/>
      <c r="AJ584" s="350"/>
      <c r="AK584" s="350"/>
      <c r="AL584" s="350"/>
      <c r="AM584" s="350"/>
      <c r="AN584" s="350"/>
      <c r="AO584" s="350"/>
      <c r="AP584" s="350"/>
      <c r="AQ584" s="350"/>
      <c r="AR584" s="350"/>
      <c r="AS584" s="350"/>
      <c r="AT584" s="350"/>
      <c r="AU584" s="350"/>
      <c r="AV584" s="350"/>
      <c r="AW584" s="350"/>
      <c r="AX584" s="350"/>
      <c r="AY584" s="356"/>
      <c r="AZ584" s="352"/>
      <c r="BA584" s="350"/>
      <c r="BB584" s="350"/>
      <c r="BC584" s="195"/>
      <c r="BD584" s="195"/>
      <c r="BE584" s="195"/>
      <c r="BF584" s="195"/>
      <c r="BG584" s="195"/>
      <c r="BH584" s="350"/>
    </row>
    <row r="585" spans="1:62" s="179" customFormat="1" ht="24.65" customHeight="1">
      <c r="A585" s="145"/>
      <c r="B585" s="163" t="s">
        <v>1757</v>
      </c>
      <c r="C585" s="164"/>
      <c r="D585" s="368"/>
      <c r="E585" s="368"/>
      <c r="F585" s="368"/>
      <c r="G585" s="410"/>
      <c r="H585" s="411"/>
      <c r="I585" s="411"/>
      <c r="J585" s="411"/>
      <c r="K585" s="411"/>
      <c r="L585" s="411"/>
      <c r="M585" s="368"/>
      <c r="N585" s="368"/>
      <c r="O585" s="368"/>
      <c r="P585" s="368"/>
      <c r="Q585" s="368"/>
      <c r="R585" s="368"/>
      <c r="S585" s="368"/>
      <c r="T585" s="368"/>
      <c r="U585" s="368"/>
      <c r="V585" s="368"/>
      <c r="W585" s="368"/>
      <c r="X585" s="368"/>
      <c r="Y585" s="368"/>
      <c r="Z585" s="368"/>
      <c r="AA585" s="368"/>
      <c r="AB585" s="368"/>
      <c r="AC585" s="368"/>
      <c r="AD585" s="368"/>
      <c r="AE585" s="368"/>
      <c r="AF585" s="368"/>
      <c r="AG585" s="368"/>
      <c r="AH585" s="368"/>
      <c r="AI585" s="368"/>
      <c r="AJ585" s="368"/>
      <c r="AK585" s="368"/>
      <c r="AL585" s="368"/>
      <c r="AM585" s="368"/>
      <c r="AN585" s="368"/>
      <c r="AO585" s="368"/>
      <c r="AP585" s="368"/>
      <c r="AQ585" s="368"/>
      <c r="AR585" s="368"/>
      <c r="AS585" s="368"/>
      <c r="AT585" s="368"/>
      <c r="AU585" s="368"/>
      <c r="AV585" s="368"/>
      <c r="AW585" s="368"/>
      <c r="AX585" s="368"/>
      <c r="AY585" s="257"/>
      <c r="AZ585" s="178"/>
      <c r="BA585" s="368"/>
      <c r="BB585" s="368"/>
      <c r="BC585" s="165"/>
      <c r="BD585" s="165"/>
      <c r="BE585" s="165"/>
      <c r="BF585" s="165"/>
      <c r="BG585" s="165"/>
      <c r="BH585" s="368"/>
      <c r="BI585" s="412"/>
      <c r="BJ585" s="412"/>
    </row>
    <row r="586" spans="1:62" ht="47.25" customHeight="1">
      <c r="A586" s="344">
        <f>SUBTOTAL(3,C$11:$C586)</f>
        <v>402</v>
      </c>
      <c r="B586" s="362" t="s">
        <v>856</v>
      </c>
      <c r="C586" s="351" t="s">
        <v>92</v>
      </c>
      <c r="D586" s="361">
        <v>0.09</v>
      </c>
      <c r="E586" s="361">
        <v>0.09</v>
      </c>
      <c r="F586" s="351"/>
      <c r="G586" s="414">
        <f t="shared" ref="G586:G592" si="83">SUM(M586:AR586)</f>
        <v>0.09</v>
      </c>
      <c r="H586" s="413" t="s">
        <v>92</v>
      </c>
      <c r="I586" s="413" t="s">
        <v>92</v>
      </c>
      <c r="J586" s="413"/>
      <c r="K586" s="413" t="str">
        <f t="shared" ref="K586:K593" si="84">IF(M586&lt;&gt;0,$M$5&amp;", ","")&amp;IF(N586&lt;&gt;0,$N$5&amp;", ","")&amp;IF(O586&lt;&gt;0,O$5&amp;", ","")&amp;IF(P586&lt;&gt;0,P$5&amp;", ","")&amp;IF(Q586&lt;&gt;0,Q$5&amp;", ","")&amp;IF(R586&lt;&gt;0,R$5&amp;", ","")&amp;IF(S586&lt;&gt;0,S$5&amp;", ","")&amp;IF(T586&lt;&gt;0,T$5&amp;", ","")&amp;IF(U586&lt;&gt;0,U$5&amp;", ","")&amp;IF(V586&lt;&gt;0,V$5&amp;", ","")&amp;IF(W586&lt;&gt;0,W$5&amp;", ","")&amp;IF(X586&lt;&gt;0,X$5&amp;", ","")&amp;IF(Y586&lt;&gt;0,Y$5&amp;", ","")&amp;IF(Z586&lt;&gt;0,Z$5&amp;", ","")&amp;IF(AA586&lt;&gt;0,AA$5&amp;", ","")&amp;IF(AB586&lt;&gt;0,AB$5&amp;", ","")&amp;IF(AC586&lt;&gt;0,AC$5&amp;", ","")&amp;IF(AD586&lt;&gt;0,AD$5&amp;", ","")&amp;IF(AE586&lt;&gt;0,AE$5&amp;", ","")&amp;IF(AF586&lt;&gt;0,AF$5&amp;", ","")&amp;IF(AG586&lt;&gt;0,AG$5&amp;", ","")&amp;IF(AH586&lt;&gt;0,AH$5&amp;", ","")&amp;IF(AI586&lt;&gt;0,AI$5&amp;", ","")&amp;IF(AJ586&lt;&gt;0,AJ$5&amp;", ","")&amp;IF(AK586&lt;&gt;0,AK$5&amp;", ","")&amp;IF(AL586&lt;&gt;0,AL$5&amp;", ","")&amp;IF(AM586&lt;&gt;0,AM$5&amp;", ","")&amp;IF(AN586&lt;&gt;0,AN$5&amp;", ","")&amp;IF(AO586&lt;&gt;0,AO$5&amp;", ","")&amp;IF(AP586&lt;&gt;0,AP$5&amp;", ","")&amp;IF(AQ586&lt;&gt;0,AQ$5&amp;", ","")&amp;IF(AR586&lt;&gt;0,AR$5,"")&amp;IF(AS586&lt;&gt;0,AS$5,"")&amp;IF(AT586&lt;&gt;0,AT$5,"")&amp;IF(AU586&lt;&gt;0,AU$5,"")</f>
        <v xml:space="preserve">DTS, </v>
      </c>
      <c r="L586" s="413" t="str">
        <f t="shared" ref="L586:L598" si="85">IF(M586="","",$M$5&amp;":"&amp;M586&amp;";")&amp;IF(N586="","",$N$5&amp;":"&amp;N586&amp;";")&amp;IF(O586="","",$O$5&amp;":"&amp;O586&amp;";")&amp;IF(P586="","",$P$5&amp;":"&amp;P586&amp;";")&amp;IF(Q586="","",$Q$5&amp;":"&amp;Q586&amp;";")&amp;IF(R586="","",$R$5&amp;":"&amp;R586&amp;";")&amp;IF(S586="","",$S$5&amp;":"&amp;S586&amp;";")&amp;IF(T586="","",$T$5&amp;":"&amp;T586&amp;";")&amp;IF(U586="","",$U$5&amp;":"&amp;U586&amp;";")&amp;IF(V586="","",$V$5&amp;":"&amp;V586&amp;";")&amp;IF(W586="","",$W$5&amp;":"&amp;W586&amp;";")&amp;IF(X586="","",$X$5&amp;":"&amp;X586&amp;";")&amp;IF(Y586="","",$Y$5&amp;":"&amp;Y586&amp;";")&amp;IF(Z586="","",$Z$5&amp;":"&amp;Z586&amp;";")&amp;IF(AA586="","",$AA$5&amp;":"&amp;AA586&amp;";")&amp;IF(AB586="","",$AB$5&amp;":"&amp;AB586&amp;";")&amp;IF(AC586="","",$AC$5&amp;":"&amp;AC586&amp;";")&amp;IF(AD586="","",$AD$5&amp;":"&amp;AD586&amp;";")&amp;IF(AE586="","",$AE$5&amp;":"&amp;AE586&amp;";")&amp;IF(AF586="","",$AF$5&amp;":"&amp;AF586&amp;";")&amp;IF(AG586="","",$AG$5&amp;":"&amp;AG586&amp;";")&amp;IF(AH586="","",$AH$5&amp;":"&amp;AH586&amp;";")&amp;IF(AI586="","",$AI$5&amp;":"&amp;AI586&amp;";")&amp;IF(AJ586="","",$AJ$5&amp;":"&amp;AJ586&amp;";")&amp;IF(AK586="","",$AK$5&amp;":"&amp;AK586&amp;";")&amp;IF(AL586="","",$AL$5&amp;":"&amp;AL586&amp;";")&amp;IF(AM586="","",$AM$5&amp;":"&amp;AM586&amp;";")&amp;IF(AN586="","",$AN$5&amp;":"&amp;AN586&amp;";")&amp;IF(AO586="","",$AO$5&amp;":"&amp;AO586&amp;";")&amp;IF(AP586="","",$AP$5&amp;":"&amp;AP586&amp;";")&amp;IF(AQ586="","",$AQ$5&amp;":"&amp;AQ586&amp;";")&amp;IF(AR586="","",$AR$5&amp;":"&amp;AR586&amp;";")&amp;IF(AS586="","",$AS$5&amp;":"&amp;AS586&amp;";")&amp;IF(AT586="","",$AT$5&amp;":"&amp;AT586&amp;";")&amp;IF(AU586="","",$AU$5&amp;":"&amp;AU586&amp;";")</f>
        <v>DTS:0,09;</v>
      </c>
      <c r="M586" s="351"/>
      <c r="N586" s="351"/>
      <c r="O586" s="351"/>
      <c r="P586" s="351"/>
      <c r="Q586" s="351"/>
      <c r="R586" s="351"/>
      <c r="S586" s="351"/>
      <c r="T586" s="351"/>
      <c r="U586" s="351"/>
      <c r="V586" s="351"/>
      <c r="W586" s="351"/>
      <c r="X586" s="351"/>
      <c r="Y586" s="351"/>
      <c r="Z586" s="351"/>
      <c r="AA586" s="351"/>
      <c r="AB586" s="351"/>
      <c r="AC586" s="351"/>
      <c r="AD586" s="351"/>
      <c r="AE586" s="351"/>
      <c r="AF586" s="351"/>
      <c r="AG586" s="351"/>
      <c r="AH586" s="351"/>
      <c r="AI586" s="351"/>
      <c r="AJ586" s="351"/>
      <c r="AK586" s="351"/>
      <c r="AL586" s="351"/>
      <c r="AM586" s="351"/>
      <c r="AN586" s="351"/>
      <c r="AO586" s="351">
        <v>0.09</v>
      </c>
      <c r="AP586" s="351"/>
      <c r="AQ586" s="351"/>
      <c r="AR586" s="351"/>
      <c r="AS586" s="351"/>
      <c r="AT586" s="351"/>
      <c r="AU586" s="351"/>
      <c r="AV586" s="351" t="s">
        <v>303</v>
      </c>
      <c r="AW586" s="351" t="s">
        <v>303</v>
      </c>
      <c r="AX586" s="350" t="s">
        <v>857</v>
      </c>
      <c r="AY586" s="356" t="s">
        <v>857</v>
      </c>
      <c r="AZ586" s="352" t="s">
        <v>1687</v>
      </c>
      <c r="BA586" s="350"/>
      <c r="BB586" s="350"/>
      <c r="BC586" s="195" t="s">
        <v>267</v>
      </c>
      <c r="BD586" s="195"/>
      <c r="BE586" s="195"/>
      <c r="BF586" s="195" t="s">
        <v>263</v>
      </c>
      <c r="BG586" s="195"/>
      <c r="BH586" s="350"/>
    </row>
    <row r="587" spans="1:62" ht="47.25" customHeight="1">
      <c r="A587" s="344">
        <f>SUBTOTAL(3,C$11:$C587)</f>
        <v>403</v>
      </c>
      <c r="B587" s="337" t="s">
        <v>858</v>
      </c>
      <c r="C587" s="351" t="s">
        <v>92</v>
      </c>
      <c r="D587" s="351">
        <v>0.11</v>
      </c>
      <c r="E587" s="351">
        <v>0.11</v>
      </c>
      <c r="F587" s="351"/>
      <c r="G587" s="414">
        <f t="shared" si="83"/>
        <v>0.11</v>
      </c>
      <c r="H587" s="413" t="s">
        <v>92</v>
      </c>
      <c r="I587" s="413" t="s">
        <v>92</v>
      </c>
      <c r="J587" s="413"/>
      <c r="K587" s="413" t="str">
        <f t="shared" si="84"/>
        <v xml:space="preserve">DTS, </v>
      </c>
      <c r="L587" s="413" t="str">
        <f t="shared" si="85"/>
        <v>DTS:0,11;</v>
      </c>
      <c r="M587" s="351"/>
      <c r="N587" s="351"/>
      <c r="O587" s="351"/>
      <c r="P587" s="351"/>
      <c r="Q587" s="351"/>
      <c r="R587" s="351"/>
      <c r="S587" s="351"/>
      <c r="T587" s="351"/>
      <c r="U587" s="351"/>
      <c r="V587" s="351"/>
      <c r="W587" s="351"/>
      <c r="X587" s="351"/>
      <c r="Y587" s="351"/>
      <c r="Z587" s="351"/>
      <c r="AA587" s="351"/>
      <c r="AB587" s="351"/>
      <c r="AC587" s="351"/>
      <c r="AD587" s="351"/>
      <c r="AE587" s="351"/>
      <c r="AF587" s="351"/>
      <c r="AG587" s="351"/>
      <c r="AH587" s="351"/>
      <c r="AI587" s="351"/>
      <c r="AJ587" s="351"/>
      <c r="AK587" s="351"/>
      <c r="AL587" s="351"/>
      <c r="AM587" s="351"/>
      <c r="AN587" s="351"/>
      <c r="AO587" s="351">
        <v>0.11</v>
      </c>
      <c r="AP587" s="351"/>
      <c r="AQ587" s="351"/>
      <c r="AR587" s="351"/>
      <c r="AS587" s="351"/>
      <c r="AT587" s="351"/>
      <c r="AU587" s="351"/>
      <c r="AV587" s="351" t="s">
        <v>303</v>
      </c>
      <c r="AW587" s="351" t="s">
        <v>303</v>
      </c>
      <c r="AX587" s="350" t="s">
        <v>859</v>
      </c>
      <c r="AY587" s="356" t="s">
        <v>859</v>
      </c>
      <c r="AZ587" s="352" t="s">
        <v>1688</v>
      </c>
      <c r="BA587" s="350"/>
      <c r="BB587" s="350"/>
      <c r="BC587" s="195" t="s">
        <v>267</v>
      </c>
      <c r="BD587" s="195"/>
      <c r="BE587" s="195"/>
      <c r="BF587" s="195" t="s">
        <v>263</v>
      </c>
      <c r="BG587" s="195"/>
      <c r="BH587" s="350"/>
    </row>
    <row r="588" spans="1:62" ht="40" customHeight="1">
      <c r="A588" s="344">
        <f>SUBTOTAL(3,C$11:$C588)</f>
        <v>404</v>
      </c>
      <c r="B588" s="362" t="s">
        <v>860</v>
      </c>
      <c r="C588" s="351" t="s">
        <v>92</v>
      </c>
      <c r="D588" s="351">
        <v>0.02</v>
      </c>
      <c r="E588" s="351">
        <v>0.02</v>
      </c>
      <c r="F588" s="351"/>
      <c r="G588" s="414">
        <f t="shared" si="83"/>
        <v>0.02</v>
      </c>
      <c r="H588" s="413" t="s">
        <v>92</v>
      </c>
      <c r="I588" s="413" t="s">
        <v>92</v>
      </c>
      <c r="J588" s="413"/>
      <c r="K588" s="413" t="str">
        <f t="shared" si="84"/>
        <v xml:space="preserve">DTS, </v>
      </c>
      <c r="L588" s="413" t="str">
        <f t="shared" si="85"/>
        <v>DTS:0,02;</v>
      </c>
      <c r="M588" s="351"/>
      <c r="N588" s="351"/>
      <c r="O588" s="351"/>
      <c r="P588" s="351"/>
      <c r="Q588" s="351"/>
      <c r="R588" s="351"/>
      <c r="S588" s="351"/>
      <c r="T588" s="351"/>
      <c r="U588" s="351"/>
      <c r="V588" s="351"/>
      <c r="W588" s="351"/>
      <c r="X588" s="351"/>
      <c r="Y588" s="351"/>
      <c r="Z588" s="351"/>
      <c r="AA588" s="351"/>
      <c r="AB588" s="351"/>
      <c r="AC588" s="351"/>
      <c r="AD588" s="351"/>
      <c r="AE588" s="351"/>
      <c r="AF588" s="351"/>
      <c r="AG588" s="351"/>
      <c r="AH588" s="351"/>
      <c r="AI588" s="351"/>
      <c r="AJ588" s="351"/>
      <c r="AK588" s="351"/>
      <c r="AL588" s="351"/>
      <c r="AM588" s="351"/>
      <c r="AN588" s="351"/>
      <c r="AO588" s="351">
        <v>0.02</v>
      </c>
      <c r="AP588" s="351"/>
      <c r="AQ588" s="351"/>
      <c r="AR588" s="351"/>
      <c r="AS588" s="351"/>
      <c r="AT588" s="351"/>
      <c r="AU588" s="351"/>
      <c r="AV588" s="351" t="s">
        <v>217</v>
      </c>
      <c r="AW588" s="351" t="s">
        <v>217</v>
      </c>
      <c r="AX588" s="350" t="s">
        <v>861</v>
      </c>
      <c r="AY588" s="356" t="s">
        <v>861</v>
      </c>
      <c r="AZ588" s="352" t="s">
        <v>1689</v>
      </c>
      <c r="BA588" s="350"/>
      <c r="BB588" s="350"/>
      <c r="BC588" s="195" t="s">
        <v>267</v>
      </c>
      <c r="BD588" s="195"/>
      <c r="BE588" s="195"/>
      <c r="BF588" s="195" t="s">
        <v>263</v>
      </c>
      <c r="BG588" s="195"/>
      <c r="BH588" s="350"/>
    </row>
    <row r="589" spans="1:62" ht="49.5" customHeight="1">
      <c r="A589" s="344">
        <f>SUBTOTAL(3,C$11:$C589)</f>
        <v>405</v>
      </c>
      <c r="B589" s="362" t="s">
        <v>862</v>
      </c>
      <c r="C589" s="351" t="s">
        <v>92</v>
      </c>
      <c r="D589" s="351">
        <v>0.13339999999999999</v>
      </c>
      <c r="E589" s="351">
        <v>0.13339999999999999</v>
      </c>
      <c r="F589" s="351"/>
      <c r="G589" s="414">
        <f t="shared" si="83"/>
        <v>0.13339999999999999</v>
      </c>
      <c r="H589" s="413" t="s">
        <v>92</v>
      </c>
      <c r="I589" s="413" t="s">
        <v>92</v>
      </c>
      <c r="J589" s="413"/>
      <c r="K589" s="413" t="str">
        <f t="shared" si="84"/>
        <v xml:space="preserve">DTS, </v>
      </c>
      <c r="L589" s="413" t="str">
        <f t="shared" si="85"/>
        <v>DTS:0,1334;</v>
      </c>
      <c r="M589" s="351"/>
      <c r="N589" s="351"/>
      <c r="O589" s="351"/>
      <c r="P589" s="351"/>
      <c r="Q589" s="351"/>
      <c r="R589" s="351"/>
      <c r="S589" s="351"/>
      <c r="T589" s="351"/>
      <c r="U589" s="351"/>
      <c r="V589" s="351"/>
      <c r="W589" s="351"/>
      <c r="X589" s="351"/>
      <c r="Y589" s="351"/>
      <c r="Z589" s="351"/>
      <c r="AA589" s="351"/>
      <c r="AB589" s="351"/>
      <c r="AC589" s="351"/>
      <c r="AD589" s="351"/>
      <c r="AE589" s="351"/>
      <c r="AF589" s="351"/>
      <c r="AG589" s="351"/>
      <c r="AH589" s="351"/>
      <c r="AI589" s="351"/>
      <c r="AJ589" s="351"/>
      <c r="AK589" s="351"/>
      <c r="AL589" s="351"/>
      <c r="AM589" s="351"/>
      <c r="AN589" s="351"/>
      <c r="AO589" s="351">
        <v>0.13339999999999999</v>
      </c>
      <c r="AP589" s="351"/>
      <c r="AQ589" s="351"/>
      <c r="AR589" s="351"/>
      <c r="AS589" s="351"/>
      <c r="AT589" s="351"/>
      <c r="AU589" s="351"/>
      <c r="AV589" s="351" t="s">
        <v>303</v>
      </c>
      <c r="AW589" s="351" t="s">
        <v>303</v>
      </c>
      <c r="AX589" s="350" t="s">
        <v>863</v>
      </c>
      <c r="AY589" s="356" t="s">
        <v>863</v>
      </c>
      <c r="AZ589" s="352" t="s">
        <v>1690</v>
      </c>
      <c r="BA589" s="350"/>
      <c r="BB589" s="350"/>
      <c r="BC589" s="195" t="s">
        <v>267</v>
      </c>
      <c r="BD589" s="195"/>
      <c r="BE589" s="195"/>
      <c r="BF589" s="195" t="s">
        <v>263</v>
      </c>
      <c r="BG589" s="195"/>
      <c r="BH589" s="350"/>
    </row>
    <row r="590" spans="1:62" ht="49.5" customHeight="1">
      <c r="A590" s="344">
        <f>SUBTOTAL(3,C$11:$C590)</f>
        <v>406</v>
      </c>
      <c r="B590" s="337" t="s">
        <v>864</v>
      </c>
      <c r="C590" s="351" t="s">
        <v>92</v>
      </c>
      <c r="D590" s="351">
        <v>0.06</v>
      </c>
      <c r="E590" s="351">
        <v>0.06</v>
      </c>
      <c r="F590" s="351"/>
      <c r="G590" s="414">
        <f t="shared" si="83"/>
        <v>0.06</v>
      </c>
      <c r="H590" s="413" t="s">
        <v>92</v>
      </c>
      <c r="I590" s="413" t="s">
        <v>92</v>
      </c>
      <c r="J590" s="413"/>
      <c r="K590" s="413" t="str">
        <f t="shared" si="84"/>
        <v xml:space="preserve">DTS, </v>
      </c>
      <c r="L590" s="413" t="str">
        <f t="shared" si="85"/>
        <v>DTS:0,06;</v>
      </c>
      <c r="M590" s="351"/>
      <c r="N590" s="351"/>
      <c r="O590" s="351"/>
      <c r="P590" s="351"/>
      <c r="Q590" s="351"/>
      <c r="R590" s="351"/>
      <c r="S590" s="351"/>
      <c r="T590" s="351"/>
      <c r="U590" s="351"/>
      <c r="V590" s="351"/>
      <c r="W590" s="351"/>
      <c r="X590" s="351"/>
      <c r="Y590" s="351"/>
      <c r="Z590" s="351"/>
      <c r="AA590" s="351"/>
      <c r="AB590" s="351"/>
      <c r="AC590" s="351"/>
      <c r="AD590" s="351"/>
      <c r="AE590" s="351"/>
      <c r="AF590" s="351"/>
      <c r="AG590" s="351"/>
      <c r="AH590" s="351"/>
      <c r="AI590" s="351"/>
      <c r="AJ590" s="351"/>
      <c r="AK590" s="351"/>
      <c r="AL590" s="351"/>
      <c r="AM590" s="351"/>
      <c r="AN590" s="351"/>
      <c r="AO590" s="351">
        <v>0.06</v>
      </c>
      <c r="AP590" s="351"/>
      <c r="AQ590" s="351"/>
      <c r="AR590" s="351"/>
      <c r="AS590" s="351"/>
      <c r="AT590" s="351"/>
      <c r="AU590" s="351"/>
      <c r="AV590" s="351" t="s">
        <v>303</v>
      </c>
      <c r="AW590" s="351" t="s">
        <v>303</v>
      </c>
      <c r="AX590" s="350" t="s">
        <v>865</v>
      </c>
      <c r="AY590" s="356" t="s">
        <v>865</v>
      </c>
      <c r="AZ590" s="352" t="s">
        <v>1691</v>
      </c>
      <c r="BA590" s="350"/>
      <c r="BB590" s="350"/>
      <c r="BC590" s="195" t="s">
        <v>267</v>
      </c>
      <c r="BD590" s="195"/>
      <c r="BE590" s="195"/>
      <c r="BF590" s="195" t="s">
        <v>263</v>
      </c>
      <c r="BG590" s="195"/>
      <c r="BH590" s="350"/>
    </row>
    <row r="591" spans="1:62" ht="49.5" customHeight="1">
      <c r="A591" s="344">
        <f>SUBTOTAL(3,C$11:$C591)</f>
        <v>407</v>
      </c>
      <c r="B591" s="337" t="s">
        <v>866</v>
      </c>
      <c r="C591" s="351" t="s">
        <v>92</v>
      </c>
      <c r="D591" s="351">
        <v>0.32</v>
      </c>
      <c r="E591" s="351">
        <v>0.32</v>
      </c>
      <c r="F591" s="351"/>
      <c r="G591" s="414">
        <f t="shared" si="83"/>
        <v>0.32</v>
      </c>
      <c r="H591" s="413" t="s">
        <v>92</v>
      </c>
      <c r="I591" s="413" t="s">
        <v>92</v>
      </c>
      <c r="J591" s="413"/>
      <c r="K591" s="413" t="str">
        <f t="shared" si="84"/>
        <v xml:space="preserve">DTS, </v>
      </c>
      <c r="L591" s="413" t="str">
        <f t="shared" si="85"/>
        <v>DTS:0,32;</v>
      </c>
      <c r="M591" s="351"/>
      <c r="N591" s="351"/>
      <c r="O591" s="351"/>
      <c r="P591" s="351"/>
      <c r="Q591" s="351"/>
      <c r="R591" s="351"/>
      <c r="S591" s="351"/>
      <c r="T591" s="351"/>
      <c r="U591" s="351"/>
      <c r="V591" s="351"/>
      <c r="W591" s="351"/>
      <c r="X591" s="351"/>
      <c r="Y591" s="351"/>
      <c r="Z591" s="351"/>
      <c r="AA591" s="351"/>
      <c r="AB591" s="351"/>
      <c r="AC591" s="351"/>
      <c r="AD591" s="351"/>
      <c r="AE591" s="351"/>
      <c r="AF591" s="351"/>
      <c r="AG591" s="351"/>
      <c r="AH591" s="351"/>
      <c r="AI591" s="351"/>
      <c r="AJ591" s="351"/>
      <c r="AK591" s="351"/>
      <c r="AL591" s="351"/>
      <c r="AM591" s="351"/>
      <c r="AN591" s="351"/>
      <c r="AO591" s="351">
        <v>0.32</v>
      </c>
      <c r="AP591" s="351"/>
      <c r="AQ591" s="351"/>
      <c r="AR591" s="351"/>
      <c r="AS591" s="351"/>
      <c r="AT591" s="351"/>
      <c r="AU591" s="351"/>
      <c r="AV591" s="351" t="s">
        <v>303</v>
      </c>
      <c r="AW591" s="351" t="s">
        <v>303</v>
      </c>
      <c r="AX591" s="350" t="s">
        <v>867</v>
      </c>
      <c r="AY591" s="356" t="s">
        <v>867</v>
      </c>
      <c r="AZ591" s="352" t="s">
        <v>1692</v>
      </c>
      <c r="BA591" s="350"/>
      <c r="BB591" s="350"/>
      <c r="BC591" s="195" t="s">
        <v>316</v>
      </c>
      <c r="BD591" s="195"/>
      <c r="BE591" s="195"/>
      <c r="BF591" s="195" t="s">
        <v>263</v>
      </c>
      <c r="BG591" s="195"/>
      <c r="BH591" s="350"/>
    </row>
    <row r="592" spans="1:62" ht="49.5" customHeight="1">
      <c r="A592" s="344">
        <f>SUBTOTAL(3,C$11:$C592)</f>
        <v>408</v>
      </c>
      <c r="B592" s="362" t="s">
        <v>868</v>
      </c>
      <c r="C592" s="351" t="s">
        <v>92</v>
      </c>
      <c r="D592" s="351">
        <v>0.06</v>
      </c>
      <c r="E592" s="351">
        <v>0.06</v>
      </c>
      <c r="F592" s="351"/>
      <c r="G592" s="414">
        <f t="shared" si="83"/>
        <v>0.06</v>
      </c>
      <c r="H592" s="413" t="s">
        <v>92</v>
      </c>
      <c r="I592" s="413" t="s">
        <v>92</v>
      </c>
      <c r="J592" s="413"/>
      <c r="K592" s="413" t="str">
        <f t="shared" si="84"/>
        <v xml:space="preserve">DTS, </v>
      </c>
      <c r="L592" s="413" t="str">
        <f t="shared" si="85"/>
        <v>DTS:0,06;</v>
      </c>
      <c r="M592" s="351"/>
      <c r="N592" s="351"/>
      <c r="O592" s="351"/>
      <c r="P592" s="351"/>
      <c r="Q592" s="351"/>
      <c r="R592" s="351"/>
      <c r="S592" s="351"/>
      <c r="T592" s="351"/>
      <c r="U592" s="351"/>
      <c r="V592" s="351"/>
      <c r="W592" s="351"/>
      <c r="X592" s="351"/>
      <c r="Y592" s="351"/>
      <c r="Z592" s="351"/>
      <c r="AA592" s="351"/>
      <c r="AB592" s="351"/>
      <c r="AC592" s="351"/>
      <c r="AD592" s="351"/>
      <c r="AE592" s="351"/>
      <c r="AF592" s="351"/>
      <c r="AG592" s="351"/>
      <c r="AH592" s="351"/>
      <c r="AI592" s="351"/>
      <c r="AJ592" s="351"/>
      <c r="AK592" s="351"/>
      <c r="AL592" s="351"/>
      <c r="AM592" s="351"/>
      <c r="AN592" s="351"/>
      <c r="AO592" s="351">
        <v>0.06</v>
      </c>
      <c r="AP592" s="351"/>
      <c r="AQ592" s="351"/>
      <c r="AR592" s="351"/>
      <c r="AS592" s="351"/>
      <c r="AT592" s="351"/>
      <c r="AU592" s="351"/>
      <c r="AV592" s="351" t="s">
        <v>303</v>
      </c>
      <c r="AW592" s="351" t="s">
        <v>303</v>
      </c>
      <c r="AX592" s="350" t="s">
        <v>869</v>
      </c>
      <c r="AY592" s="356" t="s">
        <v>869</v>
      </c>
      <c r="AZ592" s="352" t="s">
        <v>1693</v>
      </c>
      <c r="BA592" s="350"/>
      <c r="BB592" s="350"/>
      <c r="BC592" s="195" t="s">
        <v>270</v>
      </c>
      <c r="BD592" s="195"/>
      <c r="BE592" s="195"/>
      <c r="BF592" s="195" t="s">
        <v>263</v>
      </c>
      <c r="BG592" s="195"/>
      <c r="BH592" s="350"/>
    </row>
    <row r="593" spans="1:62" ht="27" customHeight="1">
      <c r="A593" s="375" t="s">
        <v>983</v>
      </c>
      <c r="B593" s="159" t="s">
        <v>102</v>
      </c>
      <c r="C593" s="158"/>
      <c r="D593" s="350"/>
      <c r="E593" s="350"/>
      <c r="F593" s="350"/>
      <c r="G593" s="414"/>
      <c r="H593" s="413"/>
      <c r="I593" s="413"/>
      <c r="J593" s="413"/>
      <c r="K593" s="413" t="str">
        <f t="shared" si="84"/>
        <v/>
      </c>
      <c r="L593" s="413" t="str">
        <f t="shared" si="85"/>
        <v/>
      </c>
      <c r="M593" s="350"/>
      <c r="N593" s="350"/>
      <c r="O593" s="350"/>
      <c r="P593" s="350"/>
      <c r="Q593" s="350"/>
      <c r="R593" s="350"/>
      <c r="S593" s="350"/>
      <c r="T593" s="350"/>
      <c r="U593" s="350"/>
      <c r="V593" s="350"/>
      <c r="W593" s="350"/>
      <c r="X593" s="350"/>
      <c r="Y593" s="350"/>
      <c r="Z593" s="350"/>
      <c r="AA593" s="350"/>
      <c r="AB593" s="350"/>
      <c r="AC593" s="350"/>
      <c r="AD593" s="350"/>
      <c r="AE593" s="350"/>
      <c r="AF593" s="350"/>
      <c r="AG593" s="350"/>
      <c r="AH593" s="350"/>
      <c r="AI593" s="350"/>
      <c r="AJ593" s="350"/>
      <c r="AK593" s="350"/>
      <c r="AL593" s="350"/>
      <c r="AM593" s="350"/>
      <c r="AN593" s="350"/>
      <c r="AO593" s="350"/>
      <c r="AP593" s="350"/>
      <c r="AQ593" s="350"/>
      <c r="AR593" s="350"/>
      <c r="AS593" s="350"/>
      <c r="AT593" s="350"/>
      <c r="AU593" s="350"/>
      <c r="AV593" s="350"/>
      <c r="AW593" s="350"/>
      <c r="AX593" s="350"/>
      <c r="AY593" s="356"/>
      <c r="AZ593" s="352"/>
      <c r="BA593" s="350"/>
      <c r="BB593" s="350"/>
      <c r="BC593" s="195"/>
      <c r="BD593" s="195"/>
      <c r="BE593" s="195"/>
      <c r="BF593" s="195"/>
      <c r="BG593" s="195"/>
      <c r="BH593" s="350"/>
    </row>
    <row r="594" spans="1:62" s="179" customFormat="1" ht="24.65" customHeight="1">
      <c r="A594" s="145"/>
      <c r="B594" s="163" t="s">
        <v>1757</v>
      </c>
      <c r="C594" s="164"/>
      <c r="D594" s="368"/>
      <c r="E594" s="368"/>
      <c r="F594" s="368"/>
      <c r="G594" s="410"/>
      <c r="H594" s="411"/>
      <c r="I594" s="411"/>
      <c r="J594" s="411"/>
      <c r="K594" s="411"/>
      <c r="L594" s="411"/>
      <c r="M594" s="368"/>
      <c r="N594" s="368"/>
      <c r="O594" s="368"/>
      <c r="P594" s="368"/>
      <c r="Q594" s="368"/>
      <c r="R594" s="368"/>
      <c r="S594" s="368"/>
      <c r="T594" s="368"/>
      <c r="U594" s="368"/>
      <c r="V594" s="368"/>
      <c r="W594" s="368"/>
      <c r="X594" s="368"/>
      <c r="Y594" s="368"/>
      <c r="Z594" s="368"/>
      <c r="AA594" s="368"/>
      <c r="AB594" s="368"/>
      <c r="AC594" s="368"/>
      <c r="AD594" s="368"/>
      <c r="AE594" s="368"/>
      <c r="AF594" s="368"/>
      <c r="AG594" s="368"/>
      <c r="AH594" s="368"/>
      <c r="AI594" s="368"/>
      <c r="AJ594" s="368"/>
      <c r="AK594" s="368"/>
      <c r="AL594" s="368"/>
      <c r="AM594" s="368"/>
      <c r="AN594" s="368"/>
      <c r="AO594" s="368"/>
      <c r="AP594" s="368"/>
      <c r="AQ594" s="368"/>
      <c r="AR594" s="368"/>
      <c r="AS594" s="368"/>
      <c r="AT594" s="368"/>
      <c r="AU594" s="368"/>
      <c r="AV594" s="368"/>
      <c r="AW594" s="368"/>
      <c r="AX594" s="368"/>
      <c r="AY594" s="257"/>
      <c r="AZ594" s="178"/>
      <c r="BA594" s="368"/>
      <c r="BB594" s="368"/>
      <c r="BC594" s="165"/>
      <c r="BD594" s="165"/>
      <c r="BE594" s="165"/>
      <c r="BF594" s="165"/>
      <c r="BG594" s="165"/>
      <c r="BH594" s="368"/>
      <c r="BI594" s="412"/>
      <c r="BJ594" s="412"/>
    </row>
    <row r="595" spans="1:62" ht="34.5" customHeight="1">
      <c r="A595" s="344">
        <f>SUBTOTAL(3,C$11:$C595)</f>
        <v>409</v>
      </c>
      <c r="B595" s="337" t="s">
        <v>870</v>
      </c>
      <c r="C595" s="338" t="s">
        <v>38</v>
      </c>
      <c r="D595" s="361">
        <v>0.71</v>
      </c>
      <c r="E595" s="366">
        <v>0.71</v>
      </c>
      <c r="F595" s="361"/>
      <c r="G595" s="414">
        <f t="shared" ref="G595:G601" si="86">SUM(M595:AR595)</f>
        <v>0.71</v>
      </c>
      <c r="H595" s="413" t="s">
        <v>38</v>
      </c>
      <c r="I595" s="413" t="s">
        <v>38</v>
      </c>
      <c r="J595" s="413"/>
      <c r="K595" s="413" t="str">
        <f>IF(M595&lt;&gt;0,$M$5&amp;", ","")&amp;IF(N595&lt;&gt;0,$N$5&amp;", ","")&amp;IF(O595&lt;&gt;0,O$5&amp;", ","")&amp;IF(P595&lt;&gt;0,P$5&amp;", ","")&amp;IF(Q595&lt;&gt;0,Q$5&amp;", ","")&amp;IF(R595&lt;&gt;0,R$5&amp;", ","")&amp;IF(S595&lt;&gt;0,S$5&amp;", ","")&amp;IF(T595&lt;&gt;0,T$5&amp;", ","")&amp;IF(U595&lt;&gt;0,U$5&amp;", ","")&amp;IF(V595&lt;&gt;0,V$5&amp;", ","")&amp;IF(W595&lt;&gt;0,W$5&amp;", ","")&amp;IF(X595&lt;&gt;0,X$5&amp;", ","")&amp;IF(Y595&lt;&gt;0,Y$5&amp;", ","")&amp;IF(Z595&lt;&gt;0,Z$5&amp;", ","")&amp;IF(AA595&lt;&gt;0,AA$5&amp;", ","")&amp;IF(AB595&lt;&gt;0,AB$5&amp;", ","")&amp;IF(AC595&lt;&gt;0,AC$5&amp;", ","")&amp;IF(AD595&lt;&gt;0,AD$5&amp;", ","")&amp;IF(AE595&lt;&gt;0,AE$5&amp;", ","")&amp;IF(AF595&lt;&gt;0,AF$5&amp;", ","")&amp;IF(AG595&lt;&gt;0,AG$5&amp;", ","")&amp;IF(AH595&lt;&gt;0,AH$5&amp;", ","")&amp;IF(AI595&lt;&gt;0,AI$5&amp;", ","")&amp;IF(AJ595&lt;&gt;0,AJ$5&amp;", ","")&amp;IF(AK595&lt;&gt;0,AK$5&amp;", ","")&amp;IF(AL595&lt;&gt;0,AL$5&amp;", ","")&amp;IF(AM595&lt;&gt;0,AM$5&amp;", ","")&amp;IF(AN595&lt;&gt;0,AN$5&amp;", ","")&amp;IF(AO595&lt;&gt;0,AO$5&amp;", ","")&amp;IF(AP595&lt;&gt;0,AP$5&amp;", ","")&amp;IF(AQ595&lt;&gt;0,AQ$5&amp;", ","")&amp;IF(AR595&lt;&gt;0,AR$5,"")&amp;IF(AS595&lt;&gt;0,AS$5,"")&amp;IF(AT595&lt;&gt;0,AT$5,"")&amp;IF(AU595&lt;&gt;0,AU$5,"")</f>
        <v xml:space="preserve">TIN, </v>
      </c>
      <c r="L595" s="413" t="str">
        <f t="shared" si="85"/>
        <v>TIN:0,71;</v>
      </c>
      <c r="M595" s="361"/>
      <c r="N595" s="361"/>
      <c r="O595" s="361"/>
      <c r="P595" s="361"/>
      <c r="Q595" s="361"/>
      <c r="R595" s="361"/>
      <c r="S595" s="361"/>
      <c r="T595" s="361"/>
      <c r="U595" s="361"/>
      <c r="V595" s="361"/>
      <c r="W595" s="361"/>
      <c r="X595" s="361"/>
      <c r="Y595" s="361"/>
      <c r="Z595" s="361"/>
      <c r="AA595" s="361"/>
      <c r="AB595" s="361"/>
      <c r="AC595" s="361"/>
      <c r="AD595" s="361"/>
      <c r="AE595" s="361"/>
      <c r="AF595" s="361"/>
      <c r="AG595" s="361"/>
      <c r="AH595" s="361"/>
      <c r="AI595" s="361"/>
      <c r="AJ595" s="361"/>
      <c r="AK595" s="361"/>
      <c r="AL595" s="361"/>
      <c r="AM595" s="361"/>
      <c r="AN595" s="361"/>
      <c r="AO595" s="361"/>
      <c r="AP595" s="361">
        <v>0.71</v>
      </c>
      <c r="AQ595" s="361"/>
      <c r="AR595" s="361"/>
      <c r="AS595" s="361"/>
      <c r="AT595" s="361"/>
      <c r="AU595" s="361"/>
      <c r="AV595" s="350" t="s">
        <v>283</v>
      </c>
      <c r="AW595" s="350" t="s">
        <v>283</v>
      </c>
      <c r="AX595" s="350" t="s">
        <v>426</v>
      </c>
      <c r="AY595" s="356"/>
      <c r="AZ595" s="352"/>
      <c r="BA595" s="350"/>
      <c r="BB595" s="350"/>
      <c r="BC595" s="195" t="s">
        <v>270</v>
      </c>
      <c r="BD595" s="195"/>
      <c r="BE595" s="195"/>
      <c r="BF595" s="195" t="s">
        <v>263</v>
      </c>
      <c r="BG595" s="195"/>
      <c r="BH595" s="350"/>
    </row>
    <row r="596" spans="1:62" ht="34.5" customHeight="1">
      <c r="A596" s="344">
        <f>SUBTOTAL(3,C$11:$C596)</f>
        <v>410</v>
      </c>
      <c r="B596" s="337" t="s">
        <v>871</v>
      </c>
      <c r="C596" s="338" t="s">
        <v>38</v>
      </c>
      <c r="D596" s="361">
        <v>0.1</v>
      </c>
      <c r="E596" s="366">
        <v>0.1</v>
      </c>
      <c r="F596" s="361"/>
      <c r="G596" s="414">
        <f t="shared" si="86"/>
        <v>0.1</v>
      </c>
      <c r="H596" s="413" t="s">
        <v>38</v>
      </c>
      <c r="I596" s="413" t="s">
        <v>38</v>
      </c>
      <c r="J596" s="413"/>
      <c r="K596" s="413" t="str">
        <f>IF(M596&lt;&gt;0,$M$5&amp;", ","")&amp;IF(N596&lt;&gt;0,$N$5&amp;", ","")&amp;IF(O596&lt;&gt;0,O$5&amp;", ","")&amp;IF(P596&lt;&gt;0,P$5&amp;", ","")&amp;IF(Q596&lt;&gt;0,Q$5&amp;", ","")&amp;IF(R596&lt;&gt;0,R$5&amp;", ","")&amp;IF(S596&lt;&gt;0,S$5&amp;", ","")&amp;IF(T596&lt;&gt;0,T$5&amp;", ","")&amp;IF(U596&lt;&gt;0,U$5&amp;", ","")&amp;IF(V596&lt;&gt;0,V$5&amp;", ","")&amp;IF(W596&lt;&gt;0,W$5&amp;", ","")&amp;IF(X596&lt;&gt;0,X$5&amp;", ","")&amp;IF(Y596&lt;&gt;0,Y$5&amp;", ","")&amp;IF(Z596&lt;&gt;0,Z$5&amp;", ","")&amp;IF(AA596&lt;&gt;0,AA$5&amp;", ","")&amp;IF(AB596&lt;&gt;0,AB$5&amp;", ","")&amp;IF(AC596&lt;&gt;0,AC$5&amp;", ","")&amp;IF(AD596&lt;&gt;0,AD$5&amp;", ","")&amp;IF(AE596&lt;&gt;0,AE$5&amp;", ","")&amp;IF(AF596&lt;&gt;0,AF$5&amp;", ","")&amp;IF(AG596&lt;&gt;0,AG$5&amp;", ","")&amp;IF(AH596&lt;&gt;0,AH$5&amp;", ","")&amp;IF(AI596&lt;&gt;0,AI$5&amp;", ","")&amp;IF(AJ596&lt;&gt;0,AJ$5&amp;", ","")&amp;IF(AK596&lt;&gt;0,AK$5&amp;", ","")&amp;IF(AL596&lt;&gt;0,AL$5&amp;", ","")&amp;IF(AM596&lt;&gt;0,AM$5&amp;", ","")&amp;IF(AN596&lt;&gt;0,AN$5&amp;", ","")&amp;IF(AO596&lt;&gt;0,AO$5&amp;", ","")&amp;IF(AP596&lt;&gt;0,AP$5&amp;", ","")&amp;IF(AQ596&lt;&gt;0,AQ$5&amp;", ","")&amp;IF(AR596&lt;&gt;0,AR$5,"")&amp;IF(AS596&lt;&gt;0,AS$5,"")&amp;IF(AT596&lt;&gt;0,AT$5,"")&amp;IF(AU596&lt;&gt;0,AU$5,"")</f>
        <v xml:space="preserve">TIN, </v>
      </c>
      <c r="L596" s="413" t="str">
        <f t="shared" si="85"/>
        <v>TIN:0,1;</v>
      </c>
      <c r="M596" s="361"/>
      <c r="N596" s="361"/>
      <c r="O596" s="361"/>
      <c r="P596" s="361"/>
      <c r="Q596" s="361"/>
      <c r="R596" s="361"/>
      <c r="S596" s="361"/>
      <c r="T596" s="361"/>
      <c r="U596" s="361"/>
      <c r="V596" s="361"/>
      <c r="W596" s="361"/>
      <c r="X596" s="361"/>
      <c r="Y596" s="361"/>
      <c r="Z596" s="361"/>
      <c r="AA596" s="361"/>
      <c r="AB596" s="361"/>
      <c r="AC596" s="361"/>
      <c r="AD596" s="361"/>
      <c r="AE596" s="361"/>
      <c r="AF596" s="361"/>
      <c r="AG596" s="361"/>
      <c r="AH596" s="361"/>
      <c r="AI596" s="361"/>
      <c r="AJ596" s="361"/>
      <c r="AK596" s="361"/>
      <c r="AL596" s="361"/>
      <c r="AM596" s="361"/>
      <c r="AN596" s="361"/>
      <c r="AO596" s="361"/>
      <c r="AP596" s="361">
        <v>0.1</v>
      </c>
      <c r="AQ596" s="361"/>
      <c r="AR596" s="361"/>
      <c r="AS596" s="361"/>
      <c r="AT596" s="361"/>
      <c r="AU596" s="361"/>
      <c r="AV596" s="338" t="s">
        <v>217</v>
      </c>
      <c r="AW596" s="338" t="s">
        <v>217</v>
      </c>
      <c r="AX596" s="350" t="s">
        <v>872</v>
      </c>
      <c r="AY596" s="356" t="s">
        <v>872</v>
      </c>
      <c r="AZ596" s="352" t="s">
        <v>1694</v>
      </c>
      <c r="BA596" s="350"/>
      <c r="BB596" s="350"/>
      <c r="BC596" s="195" t="s">
        <v>316</v>
      </c>
      <c r="BD596" s="195"/>
      <c r="BE596" s="195"/>
      <c r="BF596" s="195" t="s">
        <v>263</v>
      </c>
      <c r="BG596" s="195"/>
      <c r="BH596" s="350"/>
    </row>
    <row r="597" spans="1:62" ht="34.5" customHeight="1">
      <c r="A597" s="348">
        <f>SUBTOTAL(3,C$11:$C597)</f>
        <v>411</v>
      </c>
      <c r="B597" s="337" t="s">
        <v>873</v>
      </c>
      <c r="C597" s="338" t="s">
        <v>38</v>
      </c>
      <c r="D597" s="339">
        <v>5</v>
      </c>
      <c r="E597" s="339">
        <v>5</v>
      </c>
      <c r="F597" s="350"/>
      <c r="G597" s="414">
        <f t="shared" si="86"/>
        <v>5</v>
      </c>
      <c r="H597" s="413" t="s">
        <v>38</v>
      </c>
      <c r="I597" s="413" t="s">
        <v>38</v>
      </c>
      <c r="J597" s="413"/>
      <c r="K597" s="413" t="str">
        <f>IF(M597&lt;&gt;0,$M$5&amp;", ","")&amp;IF(N597&lt;&gt;0,$N$5&amp;", ","")&amp;IF(O597&lt;&gt;0,O$5&amp;", ","")&amp;IF(P597&lt;&gt;0,P$5&amp;", ","")&amp;IF(Q597&lt;&gt;0,Q$5&amp;", ","")&amp;IF(R597&lt;&gt;0,R$5&amp;", ","")&amp;IF(S597&lt;&gt;0,S$5&amp;", ","")&amp;IF(T597&lt;&gt;0,T$5&amp;", ","")&amp;IF(U597&lt;&gt;0,U$5&amp;", ","")&amp;IF(V597&lt;&gt;0,V$5&amp;", ","")&amp;IF(W597&lt;&gt;0,W$5&amp;", ","")&amp;IF(X597&lt;&gt;0,X$5&amp;", ","")&amp;IF(Y597&lt;&gt;0,Y$5&amp;", ","")&amp;IF(Z597&lt;&gt;0,Z$5&amp;", ","")&amp;IF(AA597&lt;&gt;0,AA$5&amp;", ","")&amp;IF(AB597&lt;&gt;0,AB$5&amp;", ","")&amp;IF(AC597&lt;&gt;0,AC$5&amp;", ","")&amp;IF(AD597&lt;&gt;0,AD$5&amp;", ","")&amp;IF(AE597&lt;&gt;0,AE$5&amp;", ","")&amp;IF(AF597&lt;&gt;0,AF$5&amp;", ","")&amp;IF(AG597&lt;&gt;0,AG$5&amp;", ","")&amp;IF(AH597&lt;&gt;0,AH$5&amp;", ","")&amp;IF(AI597&lt;&gt;0,AI$5&amp;", ","")&amp;IF(AJ597&lt;&gt;0,AJ$5&amp;", ","")&amp;IF(AK597&lt;&gt;0,AK$5&amp;", ","")&amp;IF(AL597&lt;&gt;0,AL$5&amp;", ","")&amp;IF(AM597&lt;&gt;0,AM$5&amp;", ","")&amp;IF(AN597&lt;&gt;0,AN$5&amp;", ","")&amp;IF(AO597&lt;&gt;0,AO$5&amp;", ","")&amp;IF(AP597&lt;&gt;0,AP$5&amp;", ","")&amp;IF(AQ597&lt;&gt;0,AQ$5&amp;", ","")&amp;IF(AR597&lt;&gt;0,AR$5,"")&amp;IF(AS597&lt;&gt;0,AS$5,"")&amp;IF(AT597&lt;&gt;0,AT$5,"")&amp;IF(AU597&lt;&gt;0,AU$5,"")</f>
        <v xml:space="preserve">TIN, </v>
      </c>
      <c r="L597" s="413" t="str">
        <f t="shared" si="85"/>
        <v>TIN:5;</v>
      </c>
      <c r="M597" s="350"/>
      <c r="N597" s="350"/>
      <c r="O597" s="350"/>
      <c r="P597" s="350"/>
      <c r="Q597" s="350"/>
      <c r="R597" s="350"/>
      <c r="S597" s="350"/>
      <c r="T597" s="350"/>
      <c r="U597" s="350"/>
      <c r="V597" s="350"/>
      <c r="W597" s="350"/>
      <c r="X597" s="350"/>
      <c r="Y597" s="350"/>
      <c r="Z597" s="350"/>
      <c r="AA597" s="350"/>
      <c r="AB597" s="350"/>
      <c r="AC597" s="350"/>
      <c r="AD597" s="350"/>
      <c r="AE597" s="350"/>
      <c r="AF597" s="350"/>
      <c r="AG597" s="350"/>
      <c r="AH597" s="350"/>
      <c r="AI597" s="350"/>
      <c r="AJ597" s="350"/>
      <c r="AK597" s="350"/>
      <c r="AL597" s="350"/>
      <c r="AM597" s="350"/>
      <c r="AN597" s="350"/>
      <c r="AO597" s="350"/>
      <c r="AP597" s="191">
        <v>5</v>
      </c>
      <c r="AQ597" s="350"/>
      <c r="AR597" s="350"/>
      <c r="AS597" s="350"/>
      <c r="AT597" s="350"/>
      <c r="AU597" s="350"/>
      <c r="AV597" s="338" t="s">
        <v>269</v>
      </c>
      <c r="AW597" s="338" t="s">
        <v>269</v>
      </c>
      <c r="AX597" s="192"/>
      <c r="AY597" s="262"/>
      <c r="AZ597" s="187"/>
      <c r="BA597" s="192"/>
      <c r="BB597" s="192"/>
      <c r="BC597" s="184" t="s">
        <v>270</v>
      </c>
      <c r="BD597" s="184"/>
      <c r="BE597" s="184"/>
      <c r="BF597" s="184" t="s">
        <v>263</v>
      </c>
      <c r="BG597" s="184"/>
      <c r="BH597" s="192"/>
    </row>
    <row r="598" spans="1:62" ht="34.5" customHeight="1">
      <c r="A598" s="348">
        <f>SUBTOTAL(3,C$11:$C598)</f>
        <v>412</v>
      </c>
      <c r="B598" s="367" t="s">
        <v>874</v>
      </c>
      <c r="C598" s="338" t="s">
        <v>38</v>
      </c>
      <c r="D598" s="357">
        <v>0.25</v>
      </c>
      <c r="E598" s="357">
        <v>0.25</v>
      </c>
      <c r="F598" s="357"/>
      <c r="G598" s="414">
        <f t="shared" si="86"/>
        <v>0.25</v>
      </c>
      <c r="H598" s="413" t="s">
        <v>38</v>
      </c>
      <c r="I598" s="413" t="s">
        <v>38</v>
      </c>
      <c r="J598" s="413"/>
      <c r="K598" s="413" t="str">
        <f>IF(M598&lt;&gt;0,$M$5&amp;", ","")&amp;IF(N598&lt;&gt;0,$N$5&amp;", ","")&amp;IF(O598&lt;&gt;0,O$5&amp;", ","")&amp;IF(P598&lt;&gt;0,P$5&amp;", ","")&amp;IF(Q598&lt;&gt;0,Q$5&amp;", ","")&amp;IF(R598&lt;&gt;0,R$5&amp;", ","")&amp;IF(S598&lt;&gt;0,S$5&amp;", ","")&amp;IF(T598&lt;&gt;0,T$5&amp;", ","")&amp;IF(U598&lt;&gt;0,U$5&amp;", ","")&amp;IF(V598&lt;&gt;0,V$5&amp;", ","")&amp;IF(W598&lt;&gt;0,W$5&amp;", ","")&amp;IF(X598&lt;&gt;0,X$5&amp;", ","")&amp;IF(Y598&lt;&gt;0,Y$5&amp;", ","")&amp;IF(Z598&lt;&gt;0,Z$5&amp;", ","")&amp;IF(AA598&lt;&gt;0,AA$5&amp;", ","")&amp;IF(AB598&lt;&gt;0,AB$5&amp;", ","")&amp;IF(AC598&lt;&gt;0,AC$5&amp;", ","")&amp;IF(AD598&lt;&gt;0,AD$5&amp;", ","")&amp;IF(AE598&lt;&gt;0,AE$5&amp;", ","")&amp;IF(AF598&lt;&gt;0,AF$5&amp;", ","")&amp;IF(AG598&lt;&gt;0,AG$5&amp;", ","")&amp;IF(AH598&lt;&gt;0,AH$5&amp;", ","")&amp;IF(AI598&lt;&gt;0,AI$5&amp;", ","")&amp;IF(AJ598&lt;&gt;0,AJ$5&amp;", ","")&amp;IF(AK598&lt;&gt;0,AK$5&amp;", ","")&amp;IF(AL598&lt;&gt;0,AL$5&amp;", ","")&amp;IF(AM598&lt;&gt;0,AM$5&amp;", ","")&amp;IF(AN598&lt;&gt;0,AN$5&amp;", ","")&amp;IF(AO598&lt;&gt;0,AO$5&amp;", ","")&amp;IF(AP598&lt;&gt;0,AP$5&amp;", ","")&amp;IF(AQ598&lt;&gt;0,AQ$5&amp;", ","")&amp;IF(AR598&lt;&gt;0,AR$5,"")&amp;IF(AS598&lt;&gt;0,AS$5,"")&amp;IF(AT598&lt;&gt;0,AT$5,"")&amp;IF(AU598&lt;&gt;0,AU$5,"")</f>
        <v xml:space="preserve">TIN, </v>
      </c>
      <c r="L598" s="413" t="str">
        <f t="shared" si="85"/>
        <v>TIN:0,25;</v>
      </c>
      <c r="M598" s="357"/>
      <c r="N598" s="357"/>
      <c r="O598" s="357"/>
      <c r="P598" s="357"/>
      <c r="Q598" s="357"/>
      <c r="R598" s="357"/>
      <c r="S598" s="357"/>
      <c r="T598" s="357"/>
      <c r="U598" s="357"/>
      <c r="V598" s="357"/>
      <c r="W598" s="357"/>
      <c r="X598" s="357"/>
      <c r="Y598" s="357"/>
      <c r="Z598" s="357"/>
      <c r="AA598" s="357"/>
      <c r="AB598" s="357"/>
      <c r="AC598" s="357"/>
      <c r="AD598" s="357"/>
      <c r="AE598" s="357"/>
      <c r="AF598" s="357"/>
      <c r="AG598" s="357"/>
      <c r="AH598" s="357"/>
      <c r="AI598" s="357"/>
      <c r="AJ598" s="357"/>
      <c r="AK598" s="357"/>
      <c r="AL598" s="357"/>
      <c r="AM598" s="357"/>
      <c r="AN598" s="357"/>
      <c r="AO598" s="357"/>
      <c r="AP598" s="357">
        <v>0.25</v>
      </c>
      <c r="AQ598" s="357"/>
      <c r="AR598" s="357"/>
      <c r="AS598" s="357"/>
      <c r="AT598" s="357"/>
      <c r="AU598" s="357"/>
      <c r="AV598" s="346" t="s">
        <v>217</v>
      </c>
      <c r="AW598" s="346" t="s">
        <v>217</v>
      </c>
      <c r="AX598" s="350" t="s">
        <v>314</v>
      </c>
      <c r="AY598" s="356" t="s">
        <v>314</v>
      </c>
      <c r="AZ598" s="202" t="s">
        <v>1695</v>
      </c>
      <c r="BA598" s="211"/>
      <c r="BB598" s="212"/>
      <c r="BC598" s="371" t="s">
        <v>270</v>
      </c>
      <c r="BD598" s="371"/>
      <c r="BE598" s="371"/>
      <c r="BF598" s="371"/>
      <c r="BG598" s="371"/>
      <c r="BH598" s="212"/>
    </row>
    <row r="599" spans="1:62" s="179" customFormat="1" ht="24.65" customHeight="1">
      <c r="A599" s="145"/>
      <c r="B599" s="163" t="s">
        <v>1758</v>
      </c>
      <c r="C599" s="164"/>
      <c r="D599" s="368"/>
      <c r="E599" s="368"/>
      <c r="F599" s="368"/>
      <c r="G599" s="410"/>
      <c r="H599" s="411"/>
      <c r="I599" s="411"/>
      <c r="J599" s="411"/>
      <c r="K599" s="411"/>
      <c r="L599" s="411"/>
      <c r="M599" s="368"/>
      <c r="N599" s="368"/>
      <c r="O599" s="368"/>
      <c r="P599" s="368"/>
      <c r="Q599" s="368"/>
      <c r="R599" s="368"/>
      <c r="S599" s="368"/>
      <c r="T599" s="368"/>
      <c r="U599" s="368"/>
      <c r="V599" s="368"/>
      <c r="W599" s="368"/>
      <c r="X599" s="368"/>
      <c r="Y599" s="368"/>
      <c r="Z599" s="368"/>
      <c r="AA599" s="368"/>
      <c r="AB599" s="368"/>
      <c r="AC599" s="368"/>
      <c r="AD599" s="368"/>
      <c r="AE599" s="368"/>
      <c r="AF599" s="368"/>
      <c r="AG599" s="368"/>
      <c r="AH599" s="368"/>
      <c r="AI599" s="368"/>
      <c r="AJ599" s="368"/>
      <c r="AK599" s="368"/>
      <c r="AL599" s="368"/>
      <c r="AM599" s="368"/>
      <c r="AN599" s="368"/>
      <c r="AO599" s="368"/>
      <c r="AP599" s="368"/>
      <c r="AQ599" s="368"/>
      <c r="AR599" s="368"/>
      <c r="AS599" s="368"/>
      <c r="AT599" s="368"/>
      <c r="AU599" s="368"/>
      <c r="AV599" s="368"/>
      <c r="AW599" s="368"/>
      <c r="AX599" s="368"/>
      <c r="AY599" s="257"/>
      <c r="AZ599" s="178"/>
      <c r="BA599" s="368"/>
      <c r="BB599" s="368"/>
      <c r="BC599" s="165"/>
      <c r="BD599" s="165"/>
      <c r="BE599" s="165"/>
      <c r="BF599" s="165"/>
      <c r="BG599" s="165"/>
      <c r="BH599" s="368"/>
      <c r="BI599" s="412"/>
      <c r="BJ599" s="412"/>
    </row>
    <row r="600" spans="1:62" ht="34.5" customHeight="1">
      <c r="A600" s="344">
        <f>SUBTOTAL(3,C$11:$C600)</f>
        <v>413</v>
      </c>
      <c r="B600" s="337" t="s">
        <v>875</v>
      </c>
      <c r="C600" s="338" t="s">
        <v>38</v>
      </c>
      <c r="D600" s="361">
        <v>0.17</v>
      </c>
      <c r="E600" s="366">
        <v>0.17</v>
      </c>
      <c r="F600" s="361"/>
      <c r="G600" s="414">
        <f t="shared" si="86"/>
        <v>0.17</v>
      </c>
      <c r="H600" s="413" t="s">
        <v>38</v>
      </c>
      <c r="I600" s="413" t="s">
        <v>38</v>
      </c>
      <c r="J600" s="413"/>
      <c r="K600" s="413" t="str">
        <f>IF(M600&lt;&gt;0,$M$5&amp;", ","")&amp;IF(N600&lt;&gt;0,$N$5&amp;", ","")&amp;IF(O600&lt;&gt;0,O$5&amp;", ","")&amp;IF(P600&lt;&gt;0,P$5&amp;", ","")&amp;IF(Q600&lt;&gt;0,Q$5&amp;", ","")&amp;IF(R600&lt;&gt;0,R$5&amp;", ","")&amp;IF(S600&lt;&gt;0,S$5&amp;", ","")&amp;IF(T600&lt;&gt;0,T$5&amp;", ","")&amp;IF(U600&lt;&gt;0,U$5&amp;", ","")&amp;IF(V600&lt;&gt;0,V$5&amp;", ","")&amp;IF(W600&lt;&gt;0,W$5&amp;", ","")&amp;IF(X600&lt;&gt;0,X$5&amp;", ","")&amp;IF(Y600&lt;&gt;0,Y$5&amp;", ","")&amp;IF(Z600&lt;&gt;0,Z$5&amp;", ","")&amp;IF(AA600&lt;&gt;0,AA$5&amp;", ","")&amp;IF(AB600&lt;&gt;0,AB$5&amp;", ","")&amp;IF(AC600&lt;&gt;0,AC$5&amp;", ","")&amp;IF(AD600&lt;&gt;0,AD$5&amp;", ","")&amp;IF(AE600&lt;&gt;0,AE$5&amp;", ","")&amp;IF(AF600&lt;&gt;0,AF$5&amp;", ","")&amp;IF(AG600&lt;&gt;0,AG$5&amp;", ","")&amp;IF(AH600&lt;&gt;0,AH$5&amp;", ","")&amp;IF(AI600&lt;&gt;0,AI$5&amp;", ","")&amp;IF(AJ600&lt;&gt;0,AJ$5&amp;", ","")&amp;IF(AK600&lt;&gt;0,AK$5&amp;", ","")&amp;IF(AL600&lt;&gt;0,AL$5&amp;", ","")&amp;IF(AM600&lt;&gt;0,AM$5&amp;", ","")&amp;IF(AN600&lt;&gt;0,AN$5&amp;", ","")&amp;IF(AO600&lt;&gt;0,AO$5&amp;", ","")&amp;IF(AP600&lt;&gt;0,AP$5&amp;", ","")&amp;IF(AQ600&lt;&gt;0,AQ$5&amp;", ","")&amp;IF(AR600&lt;&gt;0,AR$5,"")&amp;IF(AS600&lt;&gt;0,AS$5,"")&amp;IF(AT600&lt;&gt;0,AT$5,"")&amp;IF(AU600&lt;&gt;0,AU$5,"")</f>
        <v xml:space="preserve">TIN, </v>
      </c>
      <c r="L600" s="413" t="str">
        <f>IF(M600="","",$M$5&amp;":"&amp;M600&amp;";")&amp;IF(N600="","",$N$5&amp;":"&amp;N600&amp;";")&amp;IF(O600="","",$O$5&amp;":"&amp;O600&amp;";")&amp;IF(P600="","",$P$5&amp;":"&amp;P600&amp;";")&amp;IF(Q600="","",$Q$5&amp;":"&amp;Q600&amp;";")&amp;IF(R600="","",$R$5&amp;":"&amp;R600&amp;";")&amp;IF(S600="","",$S$5&amp;":"&amp;S600&amp;";")&amp;IF(T600="","",$T$5&amp;":"&amp;T600&amp;";")&amp;IF(U600="","",$U$5&amp;":"&amp;U600&amp;";")&amp;IF(V600="","",$V$5&amp;":"&amp;V600&amp;";")&amp;IF(W600="","",$W$5&amp;":"&amp;W600&amp;";")&amp;IF(X600="","",$X$5&amp;":"&amp;X600&amp;";")&amp;IF(Y600="","",$Y$5&amp;":"&amp;Y600&amp;";")&amp;IF(Z600="","",$Z$5&amp;":"&amp;Z600&amp;";")&amp;IF(AA600="","",$AA$5&amp;":"&amp;AA600&amp;";")&amp;IF(AB600="","",$AB$5&amp;":"&amp;AB600&amp;";")&amp;IF(AC600="","",$AC$5&amp;":"&amp;AC600&amp;";")&amp;IF(AD600="","",$AD$5&amp;":"&amp;AD600&amp;";")&amp;IF(AE600="","",$AE$5&amp;":"&amp;AE600&amp;";")&amp;IF(AF600="","",$AF$5&amp;":"&amp;AF600&amp;";")&amp;IF(AG600="","",$AG$5&amp;":"&amp;AG600&amp;";")&amp;IF(AH600="","",$AH$5&amp;":"&amp;AH600&amp;";")&amp;IF(AI600="","",$AI$5&amp;":"&amp;AI600&amp;";")&amp;IF(AJ600="","",$AJ$5&amp;":"&amp;AJ600&amp;";")&amp;IF(AK600="","",$AK$5&amp;":"&amp;AK600&amp;";")&amp;IF(AL600="","",$AL$5&amp;":"&amp;AL600&amp;";")&amp;IF(AM600="","",$AM$5&amp;":"&amp;AM600&amp;";")&amp;IF(AN600="","",$AN$5&amp;":"&amp;AN600&amp;";")&amp;IF(AO600="","",$AO$5&amp;":"&amp;AO600&amp;";")&amp;IF(AP600="","",$AP$5&amp;":"&amp;AP600&amp;";")&amp;IF(AQ600="","",$AQ$5&amp;":"&amp;AQ600&amp;";")&amp;IF(AR600="","",$AR$5&amp;":"&amp;AR600&amp;";")&amp;IF(AS600="","",$AS$5&amp;":"&amp;AS600&amp;";")&amp;IF(AT600="","",$AT$5&amp;":"&amp;AT600&amp;";")&amp;IF(AU600="","",$AU$5&amp;":"&amp;AU600&amp;";")</f>
        <v>TIN:0,17;</v>
      </c>
      <c r="M600" s="361"/>
      <c r="N600" s="361"/>
      <c r="O600" s="361"/>
      <c r="P600" s="361"/>
      <c r="Q600" s="361"/>
      <c r="R600" s="361"/>
      <c r="S600" s="361"/>
      <c r="T600" s="361"/>
      <c r="U600" s="361"/>
      <c r="V600" s="361"/>
      <c r="W600" s="361"/>
      <c r="X600" s="361"/>
      <c r="Y600" s="361"/>
      <c r="Z600" s="361"/>
      <c r="AA600" s="361"/>
      <c r="AB600" s="361"/>
      <c r="AC600" s="361"/>
      <c r="AD600" s="361"/>
      <c r="AE600" s="361"/>
      <c r="AF600" s="361"/>
      <c r="AG600" s="361"/>
      <c r="AH600" s="361"/>
      <c r="AI600" s="361"/>
      <c r="AJ600" s="361"/>
      <c r="AK600" s="361"/>
      <c r="AL600" s="361"/>
      <c r="AM600" s="361"/>
      <c r="AN600" s="361"/>
      <c r="AO600" s="361"/>
      <c r="AP600" s="361">
        <v>0.17</v>
      </c>
      <c r="AQ600" s="361"/>
      <c r="AR600" s="361"/>
      <c r="AS600" s="361"/>
      <c r="AT600" s="361"/>
      <c r="AU600" s="361"/>
      <c r="AV600" s="350" t="s">
        <v>309</v>
      </c>
      <c r="AW600" s="350" t="s">
        <v>309</v>
      </c>
      <c r="AX600" s="350" t="s">
        <v>876</v>
      </c>
      <c r="AY600" s="356" t="s">
        <v>876</v>
      </c>
      <c r="AZ600" s="352" t="s">
        <v>1696</v>
      </c>
      <c r="BA600" s="350" t="s">
        <v>357</v>
      </c>
      <c r="BB600" s="350"/>
      <c r="BC600" s="195" t="s">
        <v>358</v>
      </c>
      <c r="BD600" s="195"/>
      <c r="BE600" s="195"/>
      <c r="BF600" s="195"/>
      <c r="BG600" s="195"/>
      <c r="BH600" s="350"/>
    </row>
    <row r="601" spans="1:62" ht="34.5" customHeight="1">
      <c r="A601" s="344">
        <f>SUBTOTAL(3,C$11:$C601)</f>
        <v>414</v>
      </c>
      <c r="B601" s="337" t="s">
        <v>877</v>
      </c>
      <c r="C601" s="338" t="s">
        <v>38</v>
      </c>
      <c r="D601" s="361">
        <v>0.27</v>
      </c>
      <c r="E601" s="366">
        <v>0.27</v>
      </c>
      <c r="F601" s="361"/>
      <c r="G601" s="414">
        <f t="shared" si="86"/>
        <v>0.27</v>
      </c>
      <c r="H601" s="413" t="s">
        <v>38</v>
      </c>
      <c r="I601" s="413" t="s">
        <v>38</v>
      </c>
      <c r="J601" s="413"/>
      <c r="K601" s="413" t="str">
        <f>IF(M601&lt;&gt;0,$M$5&amp;", ","")&amp;IF(N601&lt;&gt;0,$N$5&amp;", ","")&amp;IF(O601&lt;&gt;0,O$5&amp;", ","")&amp;IF(P601&lt;&gt;0,P$5&amp;", ","")&amp;IF(Q601&lt;&gt;0,Q$5&amp;", ","")&amp;IF(R601&lt;&gt;0,R$5&amp;", ","")&amp;IF(S601&lt;&gt;0,S$5&amp;", ","")&amp;IF(T601&lt;&gt;0,T$5&amp;", ","")&amp;IF(U601&lt;&gt;0,U$5&amp;", ","")&amp;IF(V601&lt;&gt;0,V$5&amp;", ","")&amp;IF(W601&lt;&gt;0,W$5&amp;", ","")&amp;IF(X601&lt;&gt;0,X$5&amp;", ","")&amp;IF(Y601&lt;&gt;0,Y$5&amp;", ","")&amp;IF(Z601&lt;&gt;0,Z$5&amp;", ","")&amp;IF(AA601&lt;&gt;0,AA$5&amp;", ","")&amp;IF(AB601&lt;&gt;0,AB$5&amp;", ","")&amp;IF(AC601&lt;&gt;0,AC$5&amp;", ","")&amp;IF(AD601&lt;&gt;0,AD$5&amp;", ","")&amp;IF(AE601&lt;&gt;0,AE$5&amp;", ","")&amp;IF(AF601&lt;&gt;0,AF$5&amp;", ","")&amp;IF(AG601&lt;&gt;0,AG$5&amp;", ","")&amp;IF(AH601&lt;&gt;0,AH$5&amp;", ","")&amp;IF(AI601&lt;&gt;0,AI$5&amp;", ","")&amp;IF(AJ601&lt;&gt;0,AJ$5&amp;", ","")&amp;IF(AK601&lt;&gt;0,AK$5&amp;", ","")&amp;IF(AL601&lt;&gt;0,AL$5&amp;", ","")&amp;IF(AM601&lt;&gt;0,AM$5&amp;", ","")&amp;IF(AN601&lt;&gt;0,AN$5&amp;", ","")&amp;IF(AO601&lt;&gt;0,AO$5&amp;", ","")&amp;IF(AP601&lt;&gt;0,AP$5&amp;", ","")&amp;IF(AQ601&lt;&gt;0,AQ$5&amp;", ","")&amp;IF(AR601&lt;&gt;0,AR$5,"")&amp;IF(AS601&lt;&gt;0,AS$5,"")&amp;IF(AT601&lt;&gt;0,AT$5,"")&amp;IF(AU601&lt;&gt;0,AU$5,"")</f>
        <v xml:space="preserve">TIN, </v>
      </c>
      <c r="L601" s="413" t="str">
        <f>IF(M601="","",$M$5&amp;":"&amp;M601&amp;";")&amp;IF(N601="","",$N$5&amp;":"&amp;N601&amp;";")&amp;IF(O601="","",$O$5&amp;":"&amp;O601&amp;";")&amp;IF(P601="","",$P$5&amp;":"&amp;P601&amp;";")&amp;IF(Q601="","",$Q$5&amp;":"&amp;Q601&amp;";")&amp;IF(R601="","",$R$5&amp;":"&amp;R601&amp;";")&amp;IF(S601="","",$S$5&amp;":"&amp;S601&amp;";")&amp;IF(T601="","",$T$5&amp;":"&amp;T601&amp;";")&amp;IF(U601="","",$U$5&amp;":"&amp;U601&amp;";")&amp;IF(V601="","",$V$5&amp;":"&amp;V601&amp;";")&amp;IF(W601="","",$W$5&amp;":"&amp;W601&amp;";")&amp;IF(X601="","",$X$5&amp;":"&amp;X601&amp;";")&amp;IF(Y601="","",$Y$5&amp;":"&amp;Y601&amp;";")&amp;IF(Z601="","",$Z$5&amp;":"&amp;Z601&amp;";")&amp;IF(AA601="","",$AA$5&amp;":"&amp;AA601&amp;";")&amp;IF(AB601="","",$AB$5&amp;":"&amp;AB601&amp;";")&amp;IF(AC601="","",$AC$5&amp;":"&amp;AC601&amp;";")&amp;IF(AD601="","",$AD$5&amp;":"&amp;AD601&amp;";")&amp;IF(AE601="","",$AE$5&amp;":"&amp;AE601&amp;";")&amp;IF(AF601="","",$AF$5&amp;":"&amp;AF601&amp;";")&amp;IF(AG601="","",$AG$5&amp;":"&amp;AG601&amp;";")&amp;IF(AH601="","",$AH$5&amp;":"&amp;AH601&amp;";")&amp;IF(AI601="","",$AI$5&amp;":"&amp;AI601&amp;";")&amp;IF(AJ601="","",$AJ$5&amp;":"&amp;AJ601&amp;";")&amp;IF(AK601="","",$AK$5&amp;":"&amp;AK601&amp;";")&amp;IF(AL601="","",$AL$5&amp;":"&amp;AL601&amp;";")&amp;IF(AM601="","",$AM$5&amp;":"&amp;AM601&amp;";")&amp;IF(AN601="","",$AN$5&amp;":"&amp;AN601&amp;";")&amp;IF(AO601="","",$AO$5&amp;":"&amp;AO601&amp;";")&amp;IF(AP601="","",$AP$5&amp;":"&amp;AP601&amp;";")&amp;IF(AQ601="","",$AQ$5&amp;":"&amp;AQ601&amp;";")&amp;IF(AR601="","",$AR$5&amp;":"&amp;AR601&amp;";")&amp;IF(AS601="","",$AS$5&amp;":"&amp;AS601&amp;";")&amp;IF(AT601="","",$AT$5&amp;":"&amp;AT601&amp;";")&amp;IF(AU601="","",$AU$5&amp;":"&amp;AU601&amp;";")</f>
        <v>TIN:0,27;</v>
      </c>
      <c r="M601" s="361"/>
      <c r="N601" s="361"/>
      <c r="O601" s="361"/>
      <c r="P601" s="361"/>
      <c r="Q601" s="361"/>
      <c r="R601" s="361"/>
      <c r="S601" s="361"/>
      <c r="T601" s="361"/>
      <c r="U601" s="361"/>
      <c r="V601" s="361"/>
      <c r="W601" s="361"/>
      <c r="X601" s="361"/>
      <c r="Y601" s="361"/>
      <c r="Z601" s="361"/>
      <c r="AA601" s="361"/>
      <c r="AB601" s="361"/>
      <c r="AC601" s="361"/>
      <c r="AD601" s="361"/>
      <c r="AE601" s="361"/>
      <c r="AF601" s="361"/>
      <c r="AG601" s="361"/>
      <c r="AH601" s="361"/>
      <c r="AI601" s="361"/>
      <c r="AJ601" s="361"/>
      <c r="AK601" s="361"/>
      <c r="AL601" s="361"/>
      <c r="AM601" s="361"/>
      <c r="AN601" s="361"/>
      <c r="AO601" s="361"/>
      <c r="AP601" s="361">
        <v>0.27</v>
      </c>
      <c r="AQ601" s="361"/>
      <c r="AR601" s="361"/>
      <c r="AS601" s="361"/>
      <c r="AT601" s="361"/>
      <c r="AU601" s="361"/>
      <c r="AV601" s="350" t="s">
        <v>309</v>
      </c>
      <c r="AW601" s="350" t="s">
        <v>309</v>
      </c>
      <c r="AX601" s="350" t="s">
        <v>878</v>
      </c>
      <c r="AY601" s="356" t="s">
        <v>878</v>
      </c>
      <c r="AZ601" s="213" t="s">
        <v>1697</v>
      </c>
      <c r="BA601" s="353"/>
      <c r="BB601" s="353"/>
      <c r="BC601" s="341" t="s">
        <v>358</v>
      </c>
      <c r="BD601" s="341"/>
      <c r="BE601" s="341"/>
      <c r="BF601" s="341"/>
      <c r="BG601" s="341"/>
      <c r="BH601" s="353"/>
    </row>
    <row r="602" spans="1:62" s="430" customFormat="1" ht="34.5" customHeight="1">
      <c r="A602" s="444"/>
      <c r="B602" s="445" t="s">
        <v>1946</v>
      </c>
      <c r="C602" s="422" t="s">
        <v>38</v>
      </c>
      <c r="D602" s="543">
        <v>0.3</v>
      </c>
      <c r="E602" s="544"/>
      <c r="F602" s="543"/>
      <c r="G602" s="545"/>
      <c r="H602" s="420"/>
      <c r="I602" s="420"/>
      <c r="J602" s="420"/>
      <c r="K602" s="420"/>
      <c r="L602" s="420"/>
      <c r="M602" s="419"/>
      <c r="N602" s="419"/>
      <c r="O602" s="419"/>
      <c r="P602" s="419"/>
      <c r="Q602" s="419"/>
      <c r="R602" s="419"/>
      <c r="S602" s="419"/>
      <c r="T602" s="419"/>
      <c r="U602" s="419"/>
      <c r="V602" s="419"/>
      <c r="W602" s="419"/>
      <c r="X602" s="419"/>
      <c r="Y602" s="419"/>
      <c r="Z602" s="419"/>
      <c r="AA602" s="419"/>
      <c r="AB602" s="419"/>
      <c r="AC602" s="419"/>
      <c r="AD602" s="419"/>
      <c r="AE602" s="419"/>
      <c r="AF602" s="419"/>
      <c r="AG602" s="419"/>
      <c r="AH602" s="419"/>
      <c r="AI602" s="419"/>
      <c r="AJ602" s="419"/>
      <c r="AK602" s="419"/>
      <c r="AL602" s="419"/>
      <c r="AM602" s="419"/>
      <c r="AN602" s="419"/>
      <c r="AO602" s="419"/>
      <c r="AP602" s="419"/>
      <c r="AQ602" s="419"/>
      <c r="AR602" s="419"/>
      <c r="AS602" s="419"/>
      <c r="AT602" s="419"/>
      <c r="AU602" s="419"/>
      <c r="AV602" s="449" t="s">
        <v>295</v>
      </c>
      <c r="AW602" s="449"/>
      <c r="AX602" s="449"/>
      <c r="AY602" s="482"/>
      <c r="AZ602" s="514"/>
      <c r="BA602" s="515"/>
      <c r="BB602" s="515"/>
      <c r="BC602" s="546"/>
      <c r="BD602" s="546"/>
      <c r="BE602" s="546"/>
      <c r="BF602" s="546"/>
      <c r="BG602" s="546"/>
      <c r="BH602" s="515"/>
      <c r="BI602" s="429" t="s">
        <v>1859</v>
      </c>
      <c r="BJ602" s="429"/>
    </row>
    <row r="603" spans="1:62" s="179" customFormat="1" ht="25" customHeight="1">
      <c r="A603" s="531" t="s">
        <v>1739</v>
      </c>
      <c r="B603" s="532" t="s">
        <v>1740</v>
      </c>
      <c r="C603" s="531"/>
      <c r="D603" s="204"/>
      <c r="E603" s="204"/>
      <c r="F603" s="204"/>
      <c r="G603" s="410"/>
      <c r="H603" s="411"/>
      <c r="I603" s="411"/>
      <c r="J603" s="411"/>
      <c r="K603" s="411" t="str">
        <f>IF(M603&lt;&gt;0,$M$5&amp;", ","")&amp;IF(N603&lt;&gt;0,$N$5&amp;", ","")&amp;IF(O603&lt;&gt;0,O$5&amp;", ","")&amp;IF(P603&lt;&gt;0,P$5&amp;", ","")&amp;IF(Q603&lt;&gt;0,Q$5&amp;", ","")&amp;IF(R603&lt;&gt;0,R$5&amp;", ","")&amp;IF(S603&lt;&gt;0,S$5&amp;", ","")&amp;IF(T603&lt;&gt;0,T$5&amp;", ","")&amp;IF(U603&lt;&gt;0,U$5&amp;", ","")&amp;IF(V603&lt;&gt;0,V$5&amp;", ","")&amp;IF(W603&lt;&gt;0,W$5&amp;", ","")&amp;IF(X603&lt;&gt;0,X$5&amp;", ","")&amp;IF(Y603&lt;&gt;0,Y$5&amp;", ","")&amp;IF(Z603&lt;&gt;0,Z$5&amp;", ","")&amp;IF(AA603&lt;&gt;0,AA$5&amp;", ","")&amp;IF(AB603&lt;&gt;0,AB$5&amp;", ","")&amp;IF(AC603&lt;&gt;0,AC$5&amp;", ","")&amp;IF(AD603&lt;&gt;0,AD$5&amp;", ","")&amp;IF(AE603&lt;&gt;0,AE$5&amp;", ","")&amp;IF(AF603&lt;&gt;0,AF$5&amp;", ","")&amp;IF(AG603&lt;&gt;0,AG$5&amp;", ","")&amp;IF(AH603&lt;&gt;0,AH$5&amp;", ","")&amp;IF(AI603&lt;&gt;0,AI$5&amp;", ","")&amp;IF(AJ603&lt;&gt;0,AJ$5&amp;", ","")&amp;IF(AK603&lt;&gt;0,AK$5&amp;", ","")&amp;IF(AL603&lt;&gt;0,AL$5&amp;", ","")&amp;IF(AM603&lt;&gt;0,AM$5&amp;", ","")&amp;IF(AN603&lt;&gt;0,AN$5&amp;", ","")&amp;IF(AO603&lt;&gt;0,AO$5&amp;", ","")&amp;IF(AP603&lt;&gt;0,AP$5&amp;", ","")&amp;IF(AQ603&lt;&gt;0,AQ$5&amp;", ","")&amp;IF(AR603&lt;&gt;0,AR$5,"")&amp;IF(AS603&lt;&gt;0,AS$5,"")&amp;IF(AT603&lt;&gt;0,AT$5,"")&amp;IF(AU603&lt;&gt;0,AU$5,"")</f>
        <v/>
      </c>
      <c r="L603" s="411" t="str">
        <f>IF(M603="","",$M$5&amp;":"&amp;M603&amp;";")&amp;IF(N603="","",$N$5&amp;":"&amp;N603&amp;";")&amp;IF(O603="","",$O$5&amp;":"&amp;O603&amp;";")&amp;IF(P603="","",$P$5&amp;":"&amp;P603&amp;";")&amp;IF(Q603="","",$Q$5&amp;":"&amp;Q603&amp;";")&amp;IF(R603="","",$R$5&amp;":"&amp;R603&amp;";")&amp;IF(S603="","",$S$5&amp;":"&amp;S603&amp;";")&amp;IF(T603="","",$T$5&amp;":"&amp;T603&amp;";")&amp;IF(U603="","",$U$5&amp;":"&amp;U603&amp;";")&amp;IF(V603="","",$V$5&amp;":"&amp;V603&amp;";")&amp;IF(W603="","",$W$5&amp;":"&amp;W603&amp;";")&amp;IF(X603="","",$X$5&amp;":"&amp;X603&amp;";")&amp;IF(Y603="","",$Y$5&amp;":"&amp;Y603&amp;";")&amp;IF(Z603="","",$Z$5&amp;":"&amp;Z603&amp;";")&amp;IF(AA603="","",$AA$5&amp;":"&amp;AA603&amp;";")&amp;IF(AB603="","",$AB$5&amp;":"&amp;AB603&amp;";")&amp;IF(AC603="","",$AC$5&amp;":"&amp;AC603&amp;";")&amp;IF(AD603="","",$AD$5&amp;":"&amp;AD603&amp;";")&amp;IF(AE603="","",$AE$5&amp;":"&amp;AE603&amp;";")&amp;IF(AF603="","",$AF$5&amp;":"&amp;AF603&amp;";")&amp;IF(AG603="","",$AG$5&amp;":"&amp;AG603&amp;";")&amp;IF(AH603="","",$AH$5&amp;":"&amp;AH603&amp;";")&amp;IF(AI603="","",$AI$5&amp;":"&amp;AI603&amp;";")&amp;IF(AJ603="","",$AJ$5&amp;":"&amp;AJ603&amp;";")&amp;IF(AK603="","",$AK$5&amp;":"&amp;AK603&amp;";")&amp;IF(AL603="","",$AL$5&amp;":"&amp;AL603&amp;";")&amp;IF(AM603="","",$AM$5&amp;":"&amp;AM603&amp;";")&amp;IF(AN603="","",$AN$5&amp;":"&amp;AN603&amp;";")&amp;IF(AO603="","",$AO$5&amp;":"&amp;AO603&amp;";")&amp;IF(AP603="","",$AP$5&amp;":"&amp;AP603&amp;";")&amp;IF(AQ603="","",$AQ$5&amp;":"&amp;AQ603&amp;";")&amp;IF(AR603="","",$AR$5&amp;":"&amp;AR603&amp;";")&amp;IF(AS603="","",$AS$5&amp;":"&amp;AS603&amp;";")&amp;IF(AT603="","",$AT$5&amp;":"&amp;AT603&amp;";")&amp;IF(AU603="","",$AU$5&amp;":"&amp;AU603&amp;";")</f>
        <v/>
      </c>
      <c r="M603" s="204"/>
      <c r="N603" s="204"/>
      <c r="O603" s="204"/>
      <c r="P603" s="204"/>
      <c r="Q603" s="204"/>
      <c r="R603" s="204"/>
      <c r="S603" s="204"/>
      <c r="T603" s="204"/>
      <c r="U603" s="204"/>
      <c r="V603" s="204"/>
      <c r="W603" s="204"/>
      <c r="X603" s="204"/>
      <c r="Y603" s="204"/>
      <c r="Z603" s="204"/>
      <c r="AA603" s="204"/>
      <c r="AB603" s="204"/>
      <c r="AC603" s="204"/>
      <c r="AD603" s="204"/>
      <c r="AE603" s="204"/>
      <c r="AF603" s="204"/>
      <c r="AG603" s="204"/>
      <c r="AH603" s="204"/>
      <c r="AI603" s="204"/>
      <c r="AJ603" s="204"/>
      <c r="AK603" s="204"/>
      <c r="AL603" s="204"/>
      <c r="AM603" s="204"/>
      <c r="AN603" s="204"/>
      <c r="AO603" s="204"/>
      <c r="AP603" s="204"/>
      <c r="AQ603" s="204"/>
      <c r="AR603" s="204"/>
      <c r="AS603" s="204"/>
      <c r="AT603" s="204"/>
      <c r="AU603" s="204"/>
      <c r="AV603" s="204"/>
      <c r="AW603" s="204"/>
      <c r="AX603" s="204"/>
      <c r="AY603" s="265"/>
      <c r="AZ603" s="205"/>
      <c r="BA603" s="204"/>
      <c r="BB603" s="204"/>
      <c r="BC603" s="206"/>
      <c r="BD603" s="206"/>
      <c r="BE603" s="206"/>
      <c r="BF603" s="206"/>
      <c r="BG603" s="206"/>
      <c r="BH603" s="204"/>
      <c r="BI603" s="412"/>
      <c r="BJ603" s="412"/>
    </row>
    <row r="604" spans="1:62" ht="25" customHeight="1">
      <c r="A604" s="529" t="s">
        <v>974</v>
      </c>
      <c r="B604" s="530" t="s">
        <v>96</v>
      </c>
      <c r="C604" s="529"/>
      <c r="D604" s="350"/>
      <c r="E604" s="350"/>
      <c r="F604" s="350"/>
      <c r="G604" s="414"/>
      <c r="H604" s="413"/>
      <c r="I604" s="413"/>
      <c r="J604" s="413"/>
      <c r="K604" s="413" t="str">
        <f>IF(M604&lt;&gt;0,$M$5&amp;", ","")&amp;IF(N604&lt;&gt;0,$N$5&amp;", ","")&amp;IF(O604&lt;&gt;0,O$5&amp;", ","")&amp;IF(P604&lt;&gt;0,P$5&amp;", ","")&amp;IF(Q604&lt;&gt;0,Q$5&amp;", ","")&amp;IF(R604&lt;&gt;0,R$5&amp;", ","")&amp;IF(S604&lt;&gt;0,S$5&amp;", ","")&amp;IF(T604&lt;&gt;0,T$5&amp;", ","")&amp;IF(U604&lt;&gt;0,U$5&amp;", ","")&amp;IF(V604&lt;&gt;0,V$5&amp;", ","")&amp;IF(W604&lt;&gt;0,W$5&amp;", ","")&amp;IF(X604&lt;&gt;0,X$5&amp;", ","")&amp;IF(Y604&lt;&gt;0,Y$5&amp;", ","")&amp;IF(Z604&lt;&gt;0,Z$5&amp;", ","")&amp;IF(AA604&lt;&gt;0,AA$5&amp;", ","")&amp;IF(AB604&lt;&gt;0,AB$5&amp;", ","")&amp;IF(AC604&lt;&gt;0,AC$5&amp;", ","")&amp;IF(AD604&lt;&gt;0,AD$5&amp;", ","")&amp;IF(AE604&lt;&gt;0,AE$5&amp;", ","")&amp;IF(AF604&lt;&gt;0,AF$5&amp;", ","")&amp;IF(AG604&lt;&gt;0,AG$5&amp;", ","")&amp;IF(AH604&lt;&gt;0,AH$5&amp;", ","")&amp;IF(AI604&lt;&gt;0,AI$5&amp;", ","")&amp;IF(AJ604&lt;&gt;0,AJ$5&amp;", ","")&amp;IF(AK604&lt;&gt;0,AK$5&amp;", ","")&amp;IF(AL604&lt;&gt;0,AL$5&amp;", ","")&amp;IF(AM604&lt;&gt;0,AM$5&amp;", ","")&amp;IF(AN604&lt;&gt;0,AN$5&amp;", ","")&amp;IF(AO604&lt;&gt;0,AO$5&amp;", ","")&amp;IF(AP604&lt;&gt;0,AP$5&amp;", ","")&amp;IF(AQ604&lt;&gt;0,AQ$5&amp;", ","")&amp;IF(AR604&lt;&gt;0,AR$5,"")&amp;IF(AS604&lt;&gt;0,AS$5,"")&amp;IF(AT604&lt;&gt;0,AT$5,"")&amp;IF(AU604&lt;&gt;0,AU$5,"")</f>
        <v/>
      </c>
      <c r="L604" s="413" t="str">
        <f>IF(M604="","",$M$5&amp;":"&amp;M604&amp;";")&amp;IF(N604="","",$N$5&amp;":"&amp;N604&amp;";")&amp;IF(O604="","",$O$5&amp;":"&amp;O604&amp;";")&amp;IF(P604="","",$P$5&amp;":"&amp;P604&amp;";")&amp;IF(Q604="","",$Q$5&amp;":"&amp;Q604&amp;";")&amp;IF(R604="","",$R$5&amp;":"&amp;R604&amp;";")&amp;IF(S604="","",$S$5&amp;":"&amp;S604&amp;";")&amp;IF(T604="","",$T$5&amp;":"&amp;T604&amp;";")&amp;IF(U604="","",$U$5&amp;":"&amp;U604&amp;";")&amp;IF(V604="","",$V$5&amp;":"&amp;V604&amp;";")&amp;IF(W604="","",$W$5&amp;":"&amp;W604&amp;";")&amp;IF(X604="","",$X$5&amp;":"&amp;X604&amp;";")&amp;IF(Y604="","",$Y$5&amp;":"&amp;Y604&amp;";")&amp;IF(Z604="","",$Z$5&amp;":"&amp;Z604&amp;";")&amp;IF(AA604="","",$AA$5&amp;":"&amp;AA604&amp;";")&amp;IF(AB604="","",$AB$5&amp;":"&amp;AB604&amp;";")&amp;IF(AC604="","",$AC$5&amp;":"&amp;AC604&amp;";")&amp;IF(AD604="","",$AD$5&amp;":"&amp;AD604&amp;";")&amp;IF(AE604="","",$AE$5&amp;":"&amp;AE604&amp;";")&amp;IF(AF604="","",$AF$5&amp;":"&amp;AF604&amp;";")&amp;IF(AG604="","",$AG$5&amp;":"&amp;AG604&amp;";")&amp;IF(AH604="","",$AH$5&amp;":"&amp;AH604&amp;";")&amp;IF(AI604="","",$AI$5&amp;":"&amp;AI604&amp;";")&amp;IF(AJ604="","",$AJ$5&amp;":"&amp;AJ604&amp;";")&amp;IF(AK604="","",$AK$5&amp;":"&amp;AK604&amp;";")&amp;IF(AL604="","",$AL$5&amp;":"&amp;AL604&amp;";")&amp;IF(AM604="","",$AM$5&amp;":"&amp;AM604&amp;";")&amp;IF(AN604="","",$AN$5&amp;":"&amp;AN604&amp;";")&amp;IF(AO604="","",$AO$5&amp;":"&amp;AO604&amp;";")&amp;IF(AP604="","",$AP$5&amp;":"&amp;AP604&amp;";")&amp;IF(AQ604="","",$AQ$5&amp;":"&amp;AQ604&amp;";")&amp;IF(AR604="","",$AR$5&amp;":"&amp;AR604&amp;";")&amp;IF(AS604="","",$AS$5&amp;":"&amp;AS604&amp;";")&amp;IF(AT604="","",$AT$5&amp;":"&amp;AT604&amp;";")&amp;IF(AU604="","",$AU$5&amp;":"&amp;AU604&amp;";")</f>
        <v/>
      </c>
      <c r="M604" s="350"/>
      <c r="N604" s="350"/>
      <c r="O604" s="350"/>
      <c r="P604" s="350"/>
      <c r="Q604" s="350"/>
      <c r="R604" s="350"/>
      <c r="S604" s="350"/>
      <c r="T604" s="350"/>
      <c r="U604" s="350"/>
      <c r="V604" s="350"/>
      <c r="W604" s="350"/>
      <c r="X604" s="350"/>
      <c r="Y604" s="350"/>
      <c r="Z604" s="350"/>
      <c r="AA604" s="350"/>
      <c r="AB604" s="350"/>
      <c r="AC604" s="350"/>
      <c r="AD604" s="350"/>
      <c r="AE604" s="350"/>
      <c r="AF604" s="350"/>
      <c r="AG604" s="350"/>
      <c r="AH604" s="350"/>
      <c r="AI604" s="350"/>
      <c r="AJ604" s="350"/>
      <c r="AK604" s="350"/>
      <c r="AL604" s="350"/>
      <c r="AM604" s="350"/>
      <c r="AN604" s="350"/>
      <c r="AO604" s="350"/>
      <c r="AP604" s="350"/>
      <c r="AQ604" s="350"/>
      <c r="AR604" s="350"/>
      <c r="AS604" s="350"/>
      <c r="AT604" s="350"/>
      <c r="AU604" s="350"/>
      <c r="AV604" s="350"/>
      <c r="AW604" s="350"/>
      <c r="AX604" s="350"/>
      <c r="AY604" s="356"/>
      <c r="AZ604" s="352"/>
      <c r="BA604" s="350"/>
      <c r="BB604" s="350"/>
      <c r="BC604" s="195"/>
      <c r="BD604" s="195"/>
      <c r="BE604" s="195"/>
      <c r="BF604" s="195"/>
      <c r="BG604" s="195"/>
      <c r="BH604" s="350"/>
    </row>
    <row r="605" spans="1:62" s="179" customFormat="1" ht="24.65" customHeight="1">
      <c r="A605" s="145"/>
      <c r="B605" s="163" t="s">
        <v>1760</v>
      </c>
      <c r="C605" s="164"/>
      <c r="D605" s="368"/>
      <c r="E605" s="368"/>
      <c r="F605" s="368"/>
      <c r="G605" s="410"/>
      <c r="H605" s="411"/>
      <c r="I605" s="411"/>
      <c r="J605" s="411"/>
      <c r="K605" s="411"/>
      <c r="L605" s="411"/>
      <c r="M605" s="368"/>
      <c r="N605" s="368"/>
      <c r="O605" s="368"/>
      <c r="P605" s="368"/>
      <c r="Q605" s="368"/>
      <c r="R605" s="368"/>
      <c r="S605" s="368"/>
      <c r="T605" s="368"/>
      <c r="U605" s="368"/>
      <c r="V605" s="368"/>
      <c r="W605" s="368"/>
      <c r="X605" s="368"/>
      <c r="Y605" s="368"/>
      <c r="Z605" s="368"/>
      <c r="AA605" s="368"/>
      <c r="AB605" s="368"/>
      <c r="AC605" s="368"/>
      <c r="AD605" s="368"/>
      <c r="AE605" s="368"/>
      <c r="AF605" s="368"/>
      <c r="AG605" s="368"/>
      <c r="AH605" s="368"/>
      <c r="AI605" s="368"/>
      <c r="AJ605" s="368"/>
      <c r="AK605" s="368"/>
      <c r="AL605" s="368"/>
      <c r="AM605" s="368"/>
      <c r="AN605" s="368"/>
      <c r="AO605" s="368"/>
      <c r="AP605" s="368"/>
      <c r="AQ605" s="368"/>
      <c r="AR605" s="368"/>
      <c r="AS605" s="368"/>
      <c r="AT605" s="368"/>
      <c r="AU605" s="368"/>
      <c r="AV605" s="368"/>
      <c r="AW605" s="368"/>
      <c r="AX605" s="368"/>
      <c r="AY605" s="257"/>
      <c r="AZ605" s="178"/>
      <c r="BA605" s="368"/>
      <c r="BB605" s="368"/>
      <c r="BC605" s="165"/>
      <c r="BD605" s="165"/>
      <c r="BE605" s="165"/>
      <c r="BF605" s="165"/>
      <c r="BG605" s="165"/>
      <c r="BH605" s="368"/>
      <c r="BI605" s="412"/>
      <c r="BJ605" s="412"/>
    </row>
    <row r="606" spans="1:62" ht="45" customHeight="1">
      <c r="A606" s="344">
        <f>SUBTOTAL(3,C$11:$C606)</f>
        <v>416</v>
      </c>
      <c r="B606" s="337" t="s">
        <v>879</v>
      </c>
      <c r="C606" s="338" t="s">
        <v>55</v>
      </c>
      <c r="D606" s="361">
        <v>5</v>
      </c>
      <c r="E606" s="147"/>
      <c r="F606" s="361">
        <v>5</v>
      </c>
      <c r="G606" s="414">
        <f t="shared" ref="G606:G634" si="87">SUM(M606:AR606)</f>
        <v>5</v>
      </c>
      <c r="H606" s="413" t="s">
        <v>1196</v>
      </c>
      <c r="I606" s="413" t="s">
        <v>968</v>
      </c>
      <c r="J606" s="413"/>
      <c r="K606" s="413" t="str">
        <f t="shared" ref="K606:K634" si="88">IF(M606&lt;&gt;0,$M$5&amp;", ","")&amp;IF(N606&lt;&gt;0,$N$5&amp;", ","")&amp;IF(O606&lt;&gt;0,O$5&amp;", ","")&amp;IF(P606&lt;&gt;0,P$5&amp;", ","")&amp;IF(Q606&lt;&gt;0,Q$5&amp;", ","")&amp;IF(R606&lt;&gt;0,R$5&amp;", ","")&amp;IF(S606&lt;&gt;0,S$5&amp;", ","")&amp;IF(T606&lt;&gt;0,T$5&amp;", ","")&amp;IF(U606&lt;&gt;0,U$5&amp;", ","")&amp;IF(V606&lt;&gt;0,V$5&amp;", ","")&amp;IF(W606&lt;&gt;0,W$5&amp;", ","")&amp;IF(X606&lt;&gt;0,X$5&amp;", ","")&amp;IF(Y606&lt;&gt;0,Y$5&amp;", ","")&amp;IF(Z606&lt;&gt;0,Z$5&amp;", ","")&amp;IF(AA606&lt;&gt;0,AA$5&amp;", ","")&amp;IF(AB606&lt;&gt;0,AB$5&amp;", ","")&amp;IF(AC606&lt;&gt;0,AC$5&amp;", ","")&amp;IF(AD606&lt;&gt;0,AD$5&amp;", ","")&amp;IF(AE606&lt;&gt;0,AE$5&amp;", ","")&amp;IF(AF606&lt;&gt;0,AF$5&amp;", ","")&amp;IF(AG606&lt;&gt;0,AG$5&amp;", ","")&amp;IF(AH606&lt;&gt;0,AH$5&amp;", ","")&amp;IF(AI606&lt;&gt;0,AI$5&amp;", ","")&amp;IF(AJ606&lt;&gt;0,AJ$5&amp;", ","")&amp;IF(AK606&lt;&gt;0,AK$5&amp;", ","")&amp;IF(AL606&lt;&gt;0,AL$5&amp;", ","")&amp;IF(AM606&lt;&gt;0,AM$5&amp;", ","")&amp;IF(AN606&lt;&gt;0,AN$5&amp;", ","")&amp;IF(AO606&lt;&gt;0,AO$5&amp;", ","")&amp;IF(AP606&lt;&gt;0,AP$5&amp;", ","")&amp;IF(AQ606&lt;&gt;0,AQ$5&amp;", ","")&amp;IF(AR606&lt;&gt;0,AR$5,"")&amp;IF(AS606&lt;&gt;0,AS$5,"")&amp;IF(AT606&lt;&gt;0,AT$5,"")&amp;IF(AU606&lt;&gt;0,AU$5,"")</f>
        <v xml:space="preserve">LUC, HNK, CLN, </v>
      </c>
      <c r="L606" s="413" t="str">
        <f t="shared" ref="L606:L634" si="89">IF(M606="","",$M$5&amp;":"&amp;M606&amp;";")&amp;IF(N606="","",$N$5&amp;":"&amp;N606&amp;";")&amp;IF(O606="","",$O$5&amp;":"&amp;O606&amp;";")&amp;IF(P606="","",$P$5&amp;":"&amp;P606&amp;";")&amp;IF(Q606="","",$Q$5&amp;":"&amp;Q606&amp;";")&amp;IF(R606="","",$R$5&amp;":"&amp;R606&amp;";")&amp;IF(S606="","",$S$5&amp;":"&amp;S606&amp;";")&amp;IF(T606="","",$T$5&amp;":"&amp;T606&amp;";")&amp;IF(U606="","",$U$5&amp;":"&amp;U606&amp;";")&amp;IF(V606="","",$V$5&amp;":"&amp;V606&amp;";")&amp;IF(W606="","",$W$5&amp;":"&amp;W606&amp;";")&amp;IF(X606="","",$X$5&amp;":"&amp;X606&amp;";")&amp;IF(Y606="","",$Y$5&amp;":"&amp;Y606&amp;";")&amp;IF(Z606="","",$Z$5&amp;":"&amp;Z606&amp;";")&amp;IF(AA606="","",$AA$5&amp;":"&amp;AA606&amp;";")&amp;IF(AB606="","",$AB$5&amp;":"&amp;AB606&amp;";")&amp;IF(AC606="","",$AC$5&amp;":"&amp;AC606&amp;";")&amp;IF(AD606="","",$AD$5&amp;":"&amp;AD606&amp;";")&amp;IF(AE606="","",$AE$5&amp;":"&amp;AE606&amp;";")&amp;IF(AF606="","",$AF$5&amp;":"&amp;AF606&amp;";")&amp;IF(AG606="","",$AG$5&amp;":"&amp;AG606&amp;";")&amp;IF(AH606="","",$AH$5&amp;":"&amp;AH606&amp;";")&amp;IF(AI606="","",$AI$5&amp;":"&amp;AI606&amp;";")&amp;IF(AJ606="","",$AJ$5&amp;":"&amp;AJ606&amp;";")&amp;IF(AK606="","",$AK$5&amp;":"&amp;AK606&amp;";")&amp;IF(AL606="","",$AL$5&amp;":"&amp;AL606&amp;";")&amp;IF(AM606="","",$AM$5&amp;":"&amp;AM606&amp;";")&amp;IF(AN606="","",$AN$5&amp;":"&amp;AN606&amp;";")&amp;IF(AO606="","",$AO$5&amp;":"&amp;AO606&amp;";")&amp;IF(AP606="","",$AP$5&amp;":"&amp;AP606&amp;";")&amp;IF(AQ606="","",$AQ$5&amp;":"&amp;AQ606&amp;";")&amp;IF(AR606="","",$AR$5&amp;":"&amp;AR606&amp;";")&amp;IF(AS606="","",$AS$5&amp;":"&amp;AS606&amp;";")&amp;IF(AT606="","",$AT$5&amp;":"&amp;AT606&amp;";")&amp;IF(AU606="","",$AU$5&amp;":"&amp;AU606&amp;";")</f>
        <v>LUC:3;HNK:1;CLN:1;</v>
      </c>
      <c r="M606" s="361">
        <v>3</v>
      </c>
      <c r="N606" s="361"/>
      <c r="O606" s="361">
        <v>1</v>
      </c>
      <c r="P606" s="361">
        <v>1</v>
      </c>
      <c r="Q606" s="361"/>
      <c r="R606" s="361"/>
      <c r="S606" s="361"/>
      <c r="T606" s="361"/>
      <c r="U606" s="361"/>
      <c r="V606" s="361"/>
      <c r="W606" s="361"/>
      <c r="X606" s="361"/>
      <c r="Y606" s="361"/>
      <c r="Z606" s="361"/>
      <c r="AA606" s="361"/>
      <c r="AB606" s="361"/>
      <c r="AC606" s="361"/>
      <c r="AD606" s="361"/>
      <c r="AE606" s="361"/>
      <c r="AF606" s="361"/>
      <c r="AG606" s="361"/>
      <c r="AH606" s="361"/>
      <c r="AI606" s="361"/>
      <c r="AJ606" s="361"/>
      <c r="AK606" s="361"/>
      <c r="AL606" s="361"/>
      <c r="AM606" s="361"/>
      <c r="AN606" s="361"/>
      <c r="AO606" s="361"/>
      <c r="AP606" s="361"/>
      <c r="AQ606" s="361"/>
      <c r="AR606" s="361"/>
      <c r="AS606" s="361"/>
      <c r="AT606" s="361"/>
      <c r="AU606" s="361"/>
      <c r="AV606" s="351" t="s">
        <v>217</v>
      </c>
      <c r="AW606" s="351" t="s">
        <v>217</v>
      </c>
      <c r="AX606" s="350"/>
      <c r="AY606" s="356"/>
      <c r="AZ606" s="352"/>
      <c r="BA606" s="350"/>
      <c r="BB606" s="350"/>
      <c r="BC606" s="195" t="s">
        <v>270</v>
      </c>
      <c r="BD606" s="195"/>
      <c r="BE606" s="195"/>
      <c r="BF606" s="195" t="s">
        <v>263</v>
      </c>
      <c r="BG606" s="195"/>
      <c r="BH606" s="350"/>
    </row>
    <row r="607" spans="1:62" ht="45" customHeight="1">
      <c r="A607" s="344">
        <f>SUBTOTAL(3,C$11:$C607)</f>
        <v>417</v>
      </c>
      <c r="B607" s="337" t="s">
        <v>880</v>
      </c>
      <c r="C607" s="338" t="s">
        <v>55</v>
      </c>
      <c r="D607" s="361">
        <v>0.73</v>
      </c>
      <c r="E607" s="147"/>
      <c r="F607" s="361">
        <v>0.73</v>
      </c>
      <c r="G607" s="414">
        <f t="shared" si="87"/>
        <v>0.73</v>
      </c>
      <c r="H607" s="413" t="s">
        <v>46</v>
      </c>
      <c r="I607" s="413" t="s">
        <v>46</v>
      </c>
      <c r="J607" s="413"/>
      <c r="K607" s="413" t="str">
        <f t="shared" si="88"/>
        <v xml:space="preserve">DVH, </v>
      </c>
      <c r="L607" s="413" t="str">
        <f t="shared" si="89"/>
        <v>DVH:0,73;</v>
      </c>
      <c r="M607" s="361"/>
      <c r="N607" s="361"/>
      <c r="O607" s="361"/>
      <c r="P607" s="361"/>
      <c r="Q607" s="361"/>
      <c r="R607" s="361"/>
      <c r="S607" s="361"/>
      <c r="T607" s="361"/>
      <c r="U607" s="361"/>
      <c r="V607" s="361"/>
      <c r="W607" s="361"/>
      <c r="X607" s="361"/>
      <c r="Y607" s="361">
        <v>0.73</v>
      </c>
      <c r="Z607" s="361"/>
      <c r="AA607" s="361"/>
      <c r="AB607" s="361"/>
      <c r="AC607" s="361"/>
      <c r="AD607" s="361"/>
      <c r="AE607" s="361"/>
      <c r="AF607" s="361"/>
      <c r="AG607" s="361"/>
      <c r="AH607" s="361"/>
      <c r="AI607" s="361"/>
      <c r="AJ607" s="361"/>
      <c r="AK607" s="361"/>
      <c r="AL607" s="361"/>
      <c r="AM607" s="361"/>
      <c r="AN607" s="361"/>
      <c r="AO607" s="361"/>
      <c r="AP607" s="361"/>
      <c r="AQ607" s="361"/>
      <c r="AR607" s="361"/>
      <c r="AS607" s="361"/>
      <c r="AT607" s="361"/>
      <c r="AU607" s="361"/>
      <c r="AV607" s="351" t="s">
        <v>217</v>
      </c>
      <c r="AW607" s="351" t="s">
        <v>217</v>
      </c>
      <c r="AX607" s="350" t="s">
        <v>881</v>
      </c>
      <c r="AY607" s="356" t="s">
        <v>881</v>
      </c>
      <c r="AZ607" s="352" t="s">
        <v>1652</v>
      </c>
      <c r="BA607" s="350"/>
      <c r="BB607" s="350"/>
      <c r="BC607" s="195" t="s">
        <v>270</v>
      </c>
      <c r="BD607" s="195"/>
      <c r="BE607" s="195"/>
      <c r="BF607" s="195" t="s">
        <v>263</v>
      </c>
      <c r="BG607" s="195"/>
      <c r="BH607" s="350"/>
    </row>
    <row r="608" spans="1:62" ht="40" customHeight="1">
      <c r="A608" s="348">
        <f>SUBTOTAL(3,C$11:$C608)</f>
        <v>418</v>
      </c>
      <c r="B608" s="337" t="s">
        <v>882</v>
      </c>
      <c r="C608" s="338" t="s">
        <v>55</v>
      </c>
      <c r="D608" s="347">
        <v>1.22</v>
      </c>
      <c r="E608" s="347"/>
      <c r="F608" s="347">
        <v>1.22</v>
      </c>
      <c r="G608" s="414">
        <f t="shared" si="87"/>
        <v>1.22</v>
      </c>
      <c r="H608" s="413" t="s">
        <v>49</v>
      </c>
      <c r="I608" s="413" t="s">
        <v>49</v>
      </c>
      <c r="J608" s="413"/>
      <c r="K608" s="413" t="str">
        <f t="shared" si="88"/>
        <v xml:space="preserve">DTT, </v>
      </c>
      <c r="L608" s="413" t="str">
        <f t="shared" si="89"/>
        <v>DTT:1,22;</v>
      </c>
      <c r="M608" s="347"/>
      <c r="N608" s="347"/>
      <c r="O608" s="347"/>
      <c r="P608" s="347"/>
      <c r="Q608" s="347"/>
      <c r="R608" s="347"/>
      <c r="S608" s="347"/>
      <c r="T608" s="347"/>
      <c r="U608" s="347"/>
      <c r="V608" s="347"/>
      <c r="W608" s="347"/>
      <c r="X608" s="347"/>
      <c r="Y608" s="347"/>
      <c r="Z608" s="347"/>
      <c r="AA608" s="347"/>
      <c r="AB608" s="347">
        <v>1.22</v>
      </c>
      <c r="AC608" s="347"/>
      <c r="AD608" s="347"/>
      <c r="AE608" s="347"/>
      <c r="AF608" s="347"/>
      <c r="AG608" s="347"/>
      <c r="AH608" s="347"/>
      <c r="AI608" s="347"/>
      <c r="AJ608" s="347"/>
      <c r="AK608" s="347"/>
      <c r="AL608" s="347"/>
      <c r="AM608" s="347"/>
      <c r="AN608" s="347"/>
      <c r="AO608" s="347"/>
      <c r="AP608" s="347"/>
      <c r="AQ608" s="347"/>
      <c r="AR608" s="347"/>
      <c r="AS608" s="347"/>
      <c r="AT608" s="347"/>
      <c r="AU608" s="347"/>
      <c r="AV608" s="346" t="s">
        <v>217</v>
      </c>
      <c r="AW608" s="346" t="s">
        <v>217</v>
      </c>
      <c r="AX608" s="432" t="s">
        <v>883</v>
      </c>
      <c r="AY608" s="433" t="s">
        <v>883</v>
      </c>
      <c r="AZ608" s="434" t="s">
        <v>1653</v>
      </c>
      <c r="BA608" s="432"/>
      <c r="BB608" s="432"/>
      <c r="BC608" s="195" t="s">
        <v>270</v>
      </c>
      <c r="BD608" s="195"/>
      <c r="BE608" s="195"/>
      <c r="BF608" s="195" t="s">
        <v>263</v>
      </c>
      <c r="BG608" s="195"/>
      <c r="BH608" s="432"/>
    </row>
    <row r="609" spans="1:60" ht="68.25" customHeight="1">
      <c r="A609" s="348">
        <f>SUBTOTAL(3,C$11:$C609)</f>
        <v>419</v>
      </c>
      <c r="B609" s="199" t="s">
        <v>884</v>
      </c>
      <c r="C609" s="338" t="s">
        <v>55</v>
      </c>
      <c r="D609" s="347">
        <v>1.05</v>
      </c>
      <c r="E609" s="347"/>
      <c r="F609" s="347">
        <v>1.05</v>
      </c>
      <c r="G609" s="414">
        <f t="shared" si="87"/>
        <v>0</v>
      </c>
      <c r="H609" s="413" t="s">
        <v>26</v>
      </c>
      <c r="I609" s="413" t="s">
        <v>26</v>
      </c>
      <c r="J609" s="413"/>
      <c r="K609" s="413" t="str">
        <f t="shared" si="88"/>
        <v>CQP</v>
      </c>
      <c r="L609" s="413" t="str">
        <f t="shared" si="89"/>
        <v>CQP:1,05;</v>
      </c>
      <c r="M609" s="347"/>
      <c r="N609" s="347"/>
      <c r="O609" s="347"/>
      <c r="P609" s="347"/>
      <c r="Q609" s="347"/>
      <c r="R609" s="347"/>
      <c r="S609" s="347"/>
      <c r="T609" s="347"/>
      <c r="U609" s="347"/>
      <c r="V609" s="347"/>
      <c r="W609" s="347"/>
      <c r="X609" s="347"/>
      <c r="Y609" s="347"/>
      <c r="Z609" s="347"/>
      <c r="AA609" s="347"/>
      <c r="AB609" s="347"/>
      <c r="AC609" s="347"/>
      <c r="AD609" s="347"/>
      <c r="AE609" s="347"/>
      <c r="AF609" s="347"/>
      <c r="AG609" s="347"/>
      <c r="AH609" s="347"/>
      <c r="AI609" s="347"/>
      <c r="AJ609" s="347"/>
      <c r="AK609" s="347"/>
      <c r="AL609" s="347"/>
      <c r="AM609" s="347"/>
      <c r="AN609" s="347"/>
      <c r="AO609" s="347"/>
      <c r="AP609" s="347"/>
      <c r="AQ609" s="347"/>
      <c r="AR609" s="347"/>
      <c r="AS609" s="347">
        <v>1.05</v>
      </c>
      <c r="AT609" s="347"/>
      <c r="AU609" s="347"/>
      <c r="AV609" s="338" t="s">
        <v>217</v>
      </c>
      <c r="AW609" s="338" t="s">
        <v>217</v>
      </c>
      <c r="AX609" s="432" t="s">
        <v>885</v>
      </c>
      <c r="AY609" s="433" t="s">
        <v>885</v>
      </c>
      <c r="AZ609" s="434" t="s">
        <v>1654</v>
      </c>
      <c r="BA609" s="432"/>
      <c r="BB609" s="432"/>
      <c r="BC609" s="195" t="s">
        <v>270</v>
      </c>
      <c r="BD609" s="195"/>
      <c r="BE609" s="195"/>
      <c r="BF609" s="195" t="s">
        <v>263</v>
      </c>
      <c r="BG609" s="195"/>
      <c r="BH609" s="432"/>
    </row>
    <row r="610" spans="1:60" ht="40" customHeight="1">
      <c r="A610" s="348">
        <f>SUBTOTAL(3,C$11:$C610)</f>
        <v>420</v>
      </c>
      <c r="B610" s="337" t="s">
        <v>886</v>
      </c>
      <c r="C610" s="338" t="s">
        <v>55</v>
      </c>
      <c r="D610" s="361">
        <v>1.7000000000000001E-2</v>
      </c>
      <c r="E610" s="366"/>
      <c r="F610" s="361">
        <v>1.7000000000000001E-2</v>
      </c>
      <c r="G610" s="414">
        <f t="shared" si="87"/>
        <v>0.02</v>
      </c>
      <c r="H610" s="413" t="s">
        <v>24</v>
      </c>
      <c r="I610" s="413" t="s">
        <v>24</v>
      </c>
      <c r="J610" s="413"/>
      <c r="K610" s="413" t="str">
        <f t="shared" si="88"/>
        <v xml:space="preserve">TSC, </v>
      </c>
      <c r="L610" s="413" t="str">
        <f t="shared" si="89"/>
        <v>TSC:0,02;</v>
      </c>
      <c r="M610" s="361"/>
      <c r="N610" s="361"/>
      <c r="O610" s="361"/>
      <c r="P610" s="361"/>
      <c r="Q610" s="361"/>
      <c r="R610" s="361"/>
      <c r="S610" s="361"/>
      <c r="T610" s="361"/>
      <c r="U610" s="361"/>
      <c r="V610" s="361"/>
      <c r="W610" s="361"/>
      <c r="X610" s="361"/>
      <c r="Y610" s="361"/>
      <c r="Z610" s="361"/>
      <c r="AA610" s="361"/>
      <c r="AB610" s="361"/>
      <c r="AC610" s="361"/>
      <c r="AD610" s="361"/>
      <c r="AE610" s="361"/>
      <c r="AF610" s="361"/>
      <c r="AG610" s="361"/>
      <c r="AH610" s="361"/>
      <c r="AI610" s="361"/>
      <c r="AJ610" s="361"/>
      <c r="AK610" s="361"/>
      <c r="AL610" s="361"/>
      <c r="AM610" s="361"/>
      <c r="AN610" s="361">
        <v>0.02</v>
      </c>
      <c r="AO610" s="361"/>
      <c r="AP610" s="361"/>
      <c r="AQ610" s="361"/>
      <c r="AR610" s="361"/>
      <c r="AS610" s="361"/>
      <c r="AT610" s="361"/>
      <c r="AU610" s="361"/>
      <c r="AV610" s="338" t="s">
        <v>217</v>
      </c>
      <c r="AW610" s="338" t="s">
        <v>217</v>
      </c>
      <c r="AX610" s="432" t="s">
        <v>887</v>
      </c>
      <c r="AY610" s="433" t="s">
        <v>887</v>
      </c>
      <c r="AZ610" s="434" t="s">
        <v>1655</v>
      </c>
      <c r="BA610" s="432"/>
      <c r="BB610" s="432"/>
      <c r="BC610" s="195" t="s">
        <v>270</v>
      </c>
      <c r="BD610" s="195"/>
      <c r="BE610" s="195"/>
      <c r="BF610" s="195" t="s">
        <v>263</v>
      </c>
      <c r="BG610" s="195"/>
      <c r="BH610" s="432"/>
    </row>
    <row r="611" spans="1:60" ht="51.75" customHeight="1">
      <c r="A611" s="348">
        <f>SUBTOTAL(3,C$11:$C611)</f>
        <v>421</v>
      </c>
      <c r="B611" s="337" t="s">
        <v>888</v>
      </c>
      <c r="C611" s="338" t="s">
        <v>55</v>
      </c>
      <c r="D611" s="361">
        <v>1.78E-2</v>
      </c>
      <c r="E611" s="361">
        <v>1.78E-2</v>
      </c>
      <c r="F611" s="361"/>
      <c r="G611" s="414">
        <f t="shared" si="87"/>
        <v>0.02</v>
      </c>
      <c r="H611" s="413" t="s">
        <v>55</v>
      </c>
      <c r="I611" s="413" t="s">
        <v>55</v>
      </c>
      <c r="J611" s="413"/>
      <c r="K611" s="413" t="str">
        <f t="shared" si="88"/>
        <v xml:space="preserve">ODT, </v>
      </c>
      <c r="L611" s="413" t="str">
        <f t="shared" si="89"/>
        <v>ODT:0,02;</v>
      </c>
      <c r="M611" s="361"/>
      <c r="N611" s="361"/>
      <c r="O611" s="361"/>
      <c r="P611" s="361"/>
      <c r="Q611" s="361"/>
      <c r="R611" s="361"/>
      <c r="S611" s="361"/>
      <c r="T611" s="361"/>
      <c r="U611" s="361"/>
      <c r="V611" s="361"/>
      <c r="W611" s="361"/>
      <c r="X611" s="361"/>
      <c r="Y611" s="361"/>
      <c r="Z611" s="361"/>
      <c r="AA611" s="361"/>
      <c r="AB611" s="361"/>
      <c r="AC611" s="361"/>
      <c r="AD611" s="361"/>
      <c r="AE611" s="361"/>
      <c r="AF611" s="361"/>
      <c r="AG611" s="361"/>
      <c r="AH611" s="361"/>
      <c r="AI611" s="361"/>
      <c r="AJ611" s="361"/>
      <c r="AK611" s="361"/>
      <c r="AL611" s="361"/>
      <c r="AM611" s="361">
        <v>0.02</v>
      </c>
      <c r="AN611" s="361"/>
      <c r="AO611" s="361"/>
      <c r="AP611" s="361"/>
      <c r="AQ611" s="361"/>
      <c r="AR611" s="361"/>
      <c r="AS611" s="361"/>
      <c r="AT611" s="361"/>
      <c r="AU611" s="361"/>
      <c r="AV611" s="338" t="s">
        <v>217</v>
      </c>
      <c r="AW611" s="338" t="s">
        <v>217</v>
      </c>
      <c r="AX611" s="432" t="s">
        <v>889</v>
      </c>
      <c r="AY611" s="433" t="s">
        <v>889</v>
      </c>
      <c r="AZ611" s="434" t="s">
        <v>1656</v>
      </c>
      <c r="BA611" s="432"/>
      <c r="BB611" s="432"/>
      <c r="BC611" s="195" t="s">
        <v>270</v>
      </c>
      <c r="BD611" s="195"/>
      <c r="BE611" s="195"/>
      <c r="BF611" s="195" t="s">
        <v>263</v>
      </c>
      <c r="BG611" s="195"/>
      <c r="BH611" s="432"/>
    </row>
    <row r="612" spans="1:60" ht="51.75" customHeight="1">
      <c r="A612" s="348">
        <f>SUBTOTAL(3,C$11:$C612)</f>
        <v>422</v>
      </c>
      <c r="B612" s="337" t="s">
        <v>890</v>
      </c>
      <c r="C612" s="338" t="s">
        <v>55</v>
      </c>
      <c r="D612" s="361">
        <v>0.14000000000000001</v>
      </c>
      <c r="E612" s="361">
        <v>0.14000000000000001</v>
      </c>
      <c r="F612" s="361"/>
      <c r="G612" s="414">
        <f t="shared" si="87"/>
        <v>0.14000000000000001</v>
      </c>
      <c r="H612" s="413" t="s">
        <v>55</v>
      </c>
      <c r="I612" s="413" t="s">
        <v>55</v>
      </c>
      <c r="J612" s="413"/>
      <c r="K612" s="413" t="str">
        <f t="shared" si="88"/>
        <v xml:space="preserve">ODT, </v>
      </c>
      <c r="L612" s="413" t="str">
        <f t="shared" si="89"/>
        <v>ODT:0,14;</v>
      </c>
      <c r="M612" s="361"/>
      <c r="N612" s="361"/>
      <c r="O612" s="361"/>
      <c r="P612" s="361"/>
      <c r="Q612" s="361"/>
      <c r="R612" s="361"/>
      <c r="S612" s="361"/>
      <c r="T612" s="361"/>
      <c r="U612" s="361"/>
      <c r="V612" s="361"/>
      <c r="W612" s="361"/>
      <c r="X612" s="361"/>
      <c r="Y612" s="361"/>
      <c r="Z612" s="361"/>
      <c r="AA612" s="361"/>
      <c r="AB612" s="361"/>
      <c r="AC612" s="361"/>
      <c r="AD612" s="361"/>
      <c r="AE612" s="361"/>
      <c r="AF612" s="361"/>
      <c r="AG612" s="361"/>
      <c r="AH612" s="361"/>
      <c r="AI612" s="361"/>
      <c r="AJ612" s="361"/>
      <c r="AK612" s="361"/>
      <c r="AL612" s="361"/>
      <c r="AM612" s="361">
        <v>0.14000000000000001</v>
      </c>
      <c r="AN612" s="361"/>
      <c r="AO612" s="361"/>
      <c r="AP612" s="361"/>
      <c r="AQ612" s="361"/>
      <c r="AR612" s="361"/>
      <c r="AS612" s="361"/>
      <c r="AT612" s="361"/>
      <c r="AU612" s="361"/>
      <c r="AV612" s="338" t="s">
        <v>217</v>
      </c>
      <c r="AW612" s="338" t="s">
        <v>217</v>
      </c>
      <c r="AX612" s="432" t="s">
        <v>891</v>
      </c>
      <c r="AY612" s="433" t="s">
        <v>891</v>
      </c>
      <c r="AZ612" s="434" t="s">
        <v>1657</v>
      </c>
      <c r="BA612" s="432"/>
      <c r="BB612" s="432"/>
      <c r="BC612" s="195" t="s">
        <v>270</v>
      </c>
      <c r="BD612" s="195"/>
      <c r="BE612" s="195"/>
      <c r="BF612" s="195" t="s">
        <v>263</v>
      </c>
      <c r="BG612" s="195"/>
      <c r="BH612" s="432"/>
    </row>
    <row r="613" spans="1:60" ht="51.75" customHeight="1">
      <c r="A613" s="348">
        <f>SUBTOTAL(3,C$11:$C613)</f>
        <v>423</v>
      </c>
      <c r="B613" s="337" t="s">
        <v>892</v>
      </c>
      <c r="C613" s="338" t="s">
        <v>55</v>
      </c>
      <c r="D613" s="361">
        <v>0.16</v>
      </c>
      <c r="E613" s="366"/>
      <c r="F613" s="361">
        <v>0.16</v>
      </c>
      <c r="G613" s="414">
        <f t="shared" si="87"/>
        <v>0.16</v>
      </c>
      <c r="H613" s="413" t="s">
        <v>24</v>
      </c>
      <c r="I613" s="413" t="s">
        <v>24</v>
      </c>
      <c r="J613" s="413"/>
      <c r="K613" s="413" t="str">
        <f t="shared" si="88"/>
        <v xml:space="preserve">TSC, </v>
      </c>
      <c r="L613" s="413" t="str">
        <f t="shared" si="89"/>
        <v>TSC:0,16;</v>
      </c>
      <c r="M613" s="361"/>
      <c r="N613" s="361"/>
      <c r="O613" s="361"/>
      <c r="P613" s="361"/>
      <c r="Q613" s="361"/>
      <c r="R613" s="361"/>
      <c r="S613" s="361"/>
      <c r="T613" s="361"/>
      <c r="U613" s="361"/>
      <c r="V613" s="361"/>
      <c r="W613" s="361"/>
      <c r="X613" s="361"/>
      <c r="Y613" s="361"/>
      <c r="Z613" s="361"/>
      <c r="AA613" s="361"/>
      <c r="AB613" s="361"/>
      <c r="AC613" s="361"/>
      <c r="AD613" s="361"/>
      <c r="AE613" s="361"/>
      <c r="AF613" s="361"/>
      <c r="AG613" s="361"/>
      <c r="AH613" s="361"/>
      <c r="AI613" s="361"/>
      <c r="AJ613" s="361"/>
      <c r="AK613" s="361"/>
      <c r="AL613" s="361"/>
      <c r="AM613" s="361"/>
      <c r="AN613" s="361">
        <v>0.16</v>
      </c>
      <c r="AO613" s="361"/>
      <c r="AP613" s="361"/>
      <c r="AQ613" s="361"/>
      <c r="AR613" s="361"/>
      <c r="AS613" s="361"/>
      <c r="AT613" s="361"/>
      <c r="AU613" s="361"/>
      <c r="AV613" s="338" t="s">
        <v>217</v>
      </c>
      <c r="AW613" s="338" t="s">
        <v>217</v>
      </c>
      <c r="AX613" s="432" t="s">
        <v>893</v>
      </c>
      <c r="AY613" s="433" t="s">
        <v>893</v>
      </c>
      <c r="AZ613" s="434" t="s">
        <v>1658</v>
      </c>
      <c r="BA613" s="432"/>
      <c r="BB613" s="432"/>
      <c r="BC613" s="195" t="s">
        <v>270</v>
      </c>
      <c r="BD613" s="195"/>
      <c r="BE613" s="195"/>
      <c r="BF613" s="195" t="s">
        <v>263</v>
      </c>
      <c r="BG613" s="195"/>
      <c r="BH613" s="432"/>
    </row>
    <row r="614" spans="1:60" ht="40" customHeight="1">
      <c r="A614" s="348">
        <f>SUBTOTAL(3,C$11:$C614)</f>
        <v>424</v>
      </c>
      <c r="B614" s="337" t="s">
        <v>894</v>
      </c>
      <c r="C614" s="338" t="s">
        <v>55</v>
      </c>
      <c r="D614" s="361">
        <v>0.01</v>
      </c>
      <c r="E614" s="366"/>
      <c r="F614" s="361">
        <v>0.01</v>
      </c>
      <c r="G614" s="414">
        <f t="shared" si="87"/>
        <v>0.01</v>
      </c>
      <c r="H614" s="413" t="s">
        <v>24</v>
      </c>
      <c r="I614" s="413" t="s">
        <v>24</v>
      </c>
      <c r="J614" s="413"/>
      <c r="K614" s="413" t="str">
        <f t="shared" si="88"/>
        <v xml:space="preserve">TSC, </v>
      </c>
      <c r="L614" s="413" t="str">
        <f t="shared" si="89"/>
        <v>TSC:0,01;</v>
      </c>
      <c r="M614" s="361"/>
      <c r="N614" s="361"/>
      <c r="O614" s="361"/>
      <c r="P614" s="361"/>
      <c r="Q614" s="361"/>
      <c r="R614" s="361"/>
      <c r="S614" s="361"/>
      <c r="T614" s="361"/>
      <c r="U614" s="361"/>
      <c r="V614" s="361"/>
      <c r="W614" s="361"/>
      <c r="X614" s="361"/>
      <c r="Y614" s="361"/>
      <c r="Z614" s="361"/>
      <c r="AA614" s="361"/>
      <c r="AB614" s="361"/>
      <c r="AC614" s="361"/>
      <c r="AD614" s="361"/>
      <c r="AE614" s="361"/>
      <c r="AF614" s="361"/>
      <c r="AG614" s="361"/>
      <c r="AH614" s="361"/>
      <c r="AI614" s="361"/>
      <c r="AJ614" s="361"/>
      <c r="AK614" s="361"/>
      <c r="AL614" s="361"/>
      <c r="AM614" s="361"/>
      <c r="AN614" s="361">
        <v>0.01</v>
      </c>
      <c r="AO614" s="361"/>
      <c r="AP614" s="361"/>
      <c r="AQ614" s="361"/>
      <c r="AR614" s="361"/>
      <c r="AS614" s="361"/>
      <c r="AT614" s="361"/>
      <c r="AU614" s="361"/>
      <c r="AV614" s="338" t="s">
        <v>217</v>
      </c>
      <c r="AW614" s="338" t="s">
        <v>217</v>
      </c>
      <c r="AX614" s="432" t="s">
        <v>895</v>
      </c>
      <c r="AY614" s="433" t="s">
        <v>895</v>
      </c>
      <c r="AZ614" s="434" t="s">
        <v>1659</v>
      </c>
      <c r="BA614" s="432"/>
      <c r="BB614" s="432"/>
      <c r="BC614" s="195" t="s">
        <v>270</v>
      </c>
      <c r="BD614" s="195"/>
      <c r="BE614" s="195"/>
      <c r="BF614" s="195" t="s">
        <v>263</v>
      </c>
      <c r="BG614" s="195"/>
      <c r="BH614" s="432"/>
    </row>
    <row r="615" spans="1:60" ht="40" customHeight="1">
      <c r="A615" s="348">
        <f>SUBTOTAL(3,C$11:$C615)</f>
        <v>425</v>
      </c>
      <c r="B615" s="337" t="s">
        <v>896</v>
      </c>
      <c r="C615" s="338" t="s">
        <v>55</v>
      </c>
      <c r="D615" s="361">
        <v>1.03E-2</v>
      </c>
      <c r="E615" s="366"/>
      <c r="F615" s="361">
        <v>1.03E-2</v>
      </c>
      <c r="G615" s="414">
        <f t="shared" si="87"/>
        <v>0.01</v>
      </c>
      <c r="H615" s="413" t="s">
        <v>48</v>
      </c>
      <c r="I615" s="413" t="s">
        <v>48</v>
      </c>
      <c r="J615" s="413"/>
      <c r="K615" s="413" t="str">
        <f t="shared" si="88"/>
        <v xml:space="preserve">DGD, </v>
      </c>
      <c r="L615" s="413" t="str">
        <f t="shared" si="89"/>
        <v>DGD:0,01;</v>
      </c>
      <c r="M615" s="361"/>
      <c r="N615" s="361"/>
      <c r="O615" s="361"/>
      <c r="P615" s="361"/>
      <c r="Q615" s="361"/>
      <c r="R615" s="361"/>
      <c r="S615" s="361"/>
      <c r="T615" s="361"/>
      <c r="U615" s="361"/>
      <c r="V615" s="361"/>
      <c r="W615" s="361"/>
      <c r="X615" s="361"/>
      <c r="Y615" s="361"/>
      <c r="Z615" s="361"/>
      <c r="AA615" s="361">
        <v>0.01</v>
      </c>
      <c r="AB615" s="361"/>
      <c r="AC615" s="361"/>
      <c r="AD615" s="361"/>
      <c r="AE615" s="361"/>
      <c r="AF615" s="361"/>
      <c r="AG615" s="361"/>
      <c r="AH615" s="361"/>
      <c r="AI615" s="361"/>
      <c r="AJ615" s="361"/>
      <c r="AK615" s="361"/>
      <c r="AL615" s="361"/>
      <c r="AM615" s="361"/>
      <c r="AN615" s="361"/>
      <c r="AO615" s="361"/>
      <c r="AP615" s="361"/>
      <c r="AQ615" s="361"/>
      <c r="AR615" s="361"/>
      <c r="AS615" s="361"/>
      <c r="AT615" s="361"/>
      <c r="AU615" s="361"/>
      <c r="AV615" s="338" t="s">
        <v>217</v>
      </c>
      <c r="AW615" s="338" t="s">
        <v>217</v>
      </c>
      <c r="AX615" s="432" t="s">
        <v>897</v>
      </c>
      <c r="AY615" s="433" t="s">
        <v>897</v>
      </c>
      <c r="AZ615" s="434" t="s">
        <v>1660</v>
      </c>
      <c r="BA615" s="432"/>
      <c r="BB615" s="432"/>
      <c r="BC615" s="195" t="s">
        <v>270</v>
      </c>
      <c r="BD615" s="195"/>
      <c r="BE615" s="195"/>
      <c r="BF615" s="195" t="s">
        <v>263</v>
      </c>
      <c r="BG615" s="195"/>
      <c r="BH615" s="432"/>
    </row>
    <row r="616" spans="1:60" ht="40" customHeight="1">
      <c r="A616" s="348">
        <f>SUBTOTAL(3,C$11:$C616)</f>
        <v>426</v>
      </c>
      <c r="B616" s="337" t="s">
        <v>898</v>
      </c>
      <c r="C616" s="338" t="s">
        <v>55</v>
      </c>
      <c r="D616" s="361">
        <v>4.4999999999999998E-2</v>
      </c>
      <c r="E616" s="366"/>
      <c r="F616" s="361">
        <v>4.4999999999999998E-2</v>
      </c>
      <c r="G616" s="414">
        <f t="shared" si="87"/>
        <v>0.05</v>
      </c>
      <c r="H616" s="413" t="s">
        <v>88</v>
      </c>
      <c r="I616" s="413" t="s">
        <v>88</v>
      </c>
      <c r="J616" s="413"/>
      <c r="K616" s="413" t="str">
        <f t="shared" si="88"/>
        <v xml:space="preserve">TMD, </v>
      </c>
      <c r="L616" s="413" t="str">
        <f t="shared" si="89"/>
        <v>TMD:0,05;</v>
      </c>
      <c r="M616" s="361"/>
      <c r="N616" s="361"/>
      <c r="O616" s="361"/>
      <c r="P616" s="361"/>
      <c r="Q616" s="361"/>
      <c r="R616" s="361"/>
      <c r="S616" s="361"/>
      <c r="T616" s="361"/>
      <c r="U616" s="361">
        <v>0.05</v>
      </c>
      <c r="V616" s="361"/>
      <c r="W616" s="361"/>
      <c r="X616" s="361"/>
      <c r="Y616" s="361"/>
      <c r="Z616" s="361"/>
      <c r="AA616" s="361"/>
      <c r="AB616" s="361"/>
      <c r="AC616" s="361"/>
      <c r="AD616" s="361"/>
      <c r="AE616" s="361"/>
      <c r="AF616" s="361"/>
      <c r="AG616" s="361"/>
      <c r="AH616" s="361"/>
      <c r="AI616" s="361"/>
      <c r="AJ616" s="361"/>
      <c r="AK616" s="361"/>
      <c r="AL616" s="361"/>
      <c r="AM616" s="361"/>
      <c r="AN616" s="361"/>
      <c r="AO616" s="361"/>
      <c r="AP616" s="361"/>
      <c r="AQ616" s="361"/>
      <c r="AR616" s="361"/>
      <c r="AS616" s="361"/>
      <c r="AT616" s="361"/>
      <c r="AU616" s="361"/>
      <c r="AV616" s="338" t="s">
        <v>217</v>
      </c>
      <c r="AW616" s="338" t="s">
        <v>217</v>
      </c>
      <c r="AX616" s="432" t="s">
        <v>899</v>
      </c>
      <c r="AY616" s="433" t="s">
        <v>899</v>
      </c>
      <c r="AZ616" s="434" t="s">
        <v>1661</v>
      </c>
      <c r="BA616" s="432"/>
      <c r="BB616" s="432"/>
      <c r="BC616" s="195" t="s">
        <v>270</v>
      </c>
      <c r="BD616" s="195"/>
      <c r="BE616" s="195"/>
      <c r="BF616" s="195" t="s">
        <v>263</v>
      </c>
      <c r="BG616" s="195"/>
      <c r="BH616" s="432"/>
    </row>
    <row r="617" spans="1:60" ht="40" customHeight="1">
      <c r="A617" s="348">
        <f>SUBTOTAL(3,C$11:$C617)</f>
        <v>427</v>
      </c>
      <c r="B617" s="337" t="s">
        <v>900</v>
      </c>
      <c r="C617" s="338" t="s">
        <v>55</v>
      </c>
      <c r="D617" s="361">
        <v>0.01</v>
      </c>
      <c r="E617" s="366"/>
      <c r="F617" s="361">
        <v>0.01</v>
      </c>
      <c r="G617" s="414">
        <f t="shared" si="87"/>
        <v>0.01</v>
      </c>
      <c r="H617" s="413" t="s">
        <v>11</v>
      </c>
      <c r="I617" s="413" t="s">
        <v>11</v>
      </c>
      <c r="J617" s="413"/>
      <c r="K617" s="413" t="str">
        <f t="shared" si="88"/>
        <v xml:space="preserve">HNK, </v>
      </c>
      <c r="L617" s="413" t="str">
        <f t="shared" si="89"/>
        <v>HNK:0,01;</v>
      </c>
      <c r="M617" s="361"/>
      <c r="N617" s="361"/>
      <c r="O617" s="361">
        <v>0.01</v>
      </c>
      <c r="P617" s="361"/>
      <c r="Q617" s="361"/>
      <c r="R617" s="361"/>
      <c r="S617" s="361"/>
      <c r="T617" s="361"/>
      <c r="U617" s="361"/>
      <c r="V617" s="361"/>
      <c r="W617" s="361"/>
      <c r="X617" s="361"/>
      <c r="Y617" s="361"/>
      <c r="Z617" s="361"/>
      <c r="AA617" s="361"/>
      <c r="AB617" s="361"/>
      <c r="AC617" s="361"/>
      <c r="AD617" s="361"/>
      <c r="AE617" s="361"/>
      <c r="AF617" s="361"/>
      <c r="AG617" s="361"/>
      <c r="AH617" s="361"/>
      <c r="AI617" s="361"/>
      <c r="AJ617" s="361"/>
      <c r="AK617" s="361"/>
      <c r="AL617" s="361"/>
      <c r="AM617" s="361"/>
      <c r="AN617" s="361"/>
      <c r="AO617" s="361"/>
      <c r="AP617" s="361"/>
      <c r="AQ617" s="361"/>
      <c r="AR617" s="361"/>
      <c r="AS617" s="361"/>
      <c r="AT617" s="361"/>
      <c r="AU617" s="361"/>
      <c r="AV617" s="338" t="s">
        <v>217</v>
      </c>
      <c r="AW617" s="338" t="s">
        <v>217</v>
      </c>
      <c r="AX617" s="432" t="s">
        <v>901</v>
      </c>
      <c r="AY617" s="433" t="s">
        <v>901</v>
      </c>
      <c r="AZ617" s="434" t="s">
        <v>1662</v>
      </c>
      <c r="BA617" s="432"/>
      <c r="BB617" s="432"/>
      <c r="BC617" s="195" t="s">
        <v>270</v>
      </c>
      <c r="BD617" s="195"/>
      <c r="BE617" s="195"/>
      <c r="BF617" s="195" t="s">
        <v>263</v>
      </c>
      <c r="BG617" s="195"/>
      <c r="BH617" s="432"/>
    </row>
    <row r="618" spans="1:60" ht="57">
      <c r="A618" s="348">
        <f>SUBTOTAL(3,C$11:$C618)</f>
        <v>428</v>
      </c>
      <c r="B618" s="337" t="s">
        <v>902</v>
      </c>
      <c r="C618" s="338" t="s">
        <v>55</v>
      </c>
      <c r="D618" s="361">
        <v>0.25</v>
      </c>
      <c r="E618" s="361">
        <v>0.25</v>
      </c>
      <c r="F618" s="361"/>
      <c r="G618" s="414">
        <f t="shared" si="87"/>
        <v>0.25</v>
      </c>
      <c r="H618" s="413" t="s">
        <v>55</v>
      </c>
      <c r="I618" s="413" t="s">
        <v>55</v>
      </c>
      <c r="J618" s="413"/>
      <c r="K618" s="413" t="str">
        <f t="shared" si="88"/>
        <v xml:space="preserve">ODT, </v>
      </c>
      <c r="L618" s="413" t="str">
        <f t="shared" si="89"/>
        <v>ODT:0,25;</v>
      </c>
      <c r="M618" s="361"/>
      <c r="N618" s="361"/>
      <c r="O618" s="361"/>
      <c r="P618" s="361"/>
      <c r="Q618" s="361"/>
      <c r="R618" s="361"/>
      <c r="S618" s="361"/>
      <c r="T618" s="361"/>
      <c r="U618" s="361"/>
      <c r="V618" s="361"/>
      <c r="W618" s="361"/>
      <c r="X618" s="361"/>
      <c r="Y618" s="361"/>
      <c r="Z618" s="361"/>
      <c r="AA618" s="361"/>
      <c r="AB618" s="361"/>
      <c r="AC618" s="361"/>
      <c r="AD618" s="361"/>
      <c r="AE618" s="361"/>
      <c r="AF618" s="361"/>
      <c r="AG618" s="361"/>
      <c r="AH618" s="361"/>
      <c r="AI618" s="361"/>
      <c r="AJ618" s="361"/>
      <c r="AK618" s="361"/>
      <c r="AL618" s="361"/>
      <c r="AM618" s="361">
        <v>0.25</v>
      </c>
      <c r="AN618" s="361"/>
      <c r="AO618" s="361"/>
      <c r="AP618" s="361"/>
      <c r="AQ618" s="361"/>
      <c r="AR618" s="361"/>
      <c r="AS618" s="361"/>
      <c r="AT618" s="361"/>
      <c r="AU618" s="361"/>
      <c r="AV618" s="338" t="s">
        <v>217</v>
      </c>
      <c r="AW618" s="338" t="s">
        <v>217</v>
      </c>
      <c r="AX618" s="432" t="s">
        <v>903</v>
      </c>
      <c r="AY618" s="433" t="s">
        <v>903</v>
      </c>
      <c r="AZ618" s="434" t="s">
        <v>1663</v>
      </c>
      <c r="BA618" s="432"/>
      <c r="BB618" s="432"/>
      <c r="BC618" s="195" t="s">
        <v>270</v>
      </c>
      <c r="BD618" s="195"/>
      <c r="BE618" s="195"/>
      <c r="BF618" s="195" t="s">
        <v>263</v>
      </c>
      <c r="BG618" s="195"/>
      <c r="BH618" s="432"/>
    </row>
    <row r="619" spans="1:60" ht="40" customHeight="1">
      <c r="A619" s="348">
        <f>SUBTOTAL(3,C$11:$C619)</f>
        <v>429</v>
      </c>
      <c r="B619" s="337" t="s">
        <v>904</v>
      </c>
      <c r="C619" s="338" t="s">
        <v>55</v>
      </c>
      <c r="D619" s="361">
        <v>4</v>
      </c>
      <c r="E619" s="366"/>
      <c r="F619" s="361">
        <v>4</v>
      </c>
      <c r="G619" s="414">
        <f t="shared" si="87"/>
        <v>4</v>
      </c>
      <c r="H619" s="413" t="s">
        <v>40</v>
      </c>
      <c r="I619" s="413" t="s">
        <v>40</v>
      </c>
      <c r="J619" s="413"/>
      <c r="K619" s="413" t="str">
        <f t="shared" si="88"/>
        <v xml:space="preserve">SON, </v>
      </c>
      <c r="L619" s="413" t="str">
        <f t="shared" si="89"/>
        <v>SON:4;</v>
      </c>
      <c r="M619" s="361"/>
      <c r="N619" s="361"/>
      <c r="O619" s="361"/>
      <c r="P619" s="361"/>
      <c r="Q619" s="361"/>
      <c r="R619" s="361"/>
      <c r="S619" s="361"/>
      <c r="T619" s="361"/>
      <c r="U619" s="361"/>
      <c r="V619" s="361"/>
      <c r="W619" s="361"/>
      <c r="X619" s="361"/>
      <c r="Y619" s="361"/>
      <c r="Z619" s="361"/>
      <c r="AA619" s="361"/>
      <c r="AB619" s="361"/>
      <c r="AC619" s="361"/>
      <c r="AD619" s="361"/>
      <c r="AE619" s="361"/>
      <c r="AF619" s="361"/>
      <c r="AG619" s="361"/>
      <c r="AH619" s="361"/>
      <c r="AI619" s="361"/>
      <c r="AJ619" s="361"/>
      <c r="AK619" s="361"/>
      <c r="AL619" s="361"/>
      <c r="AM619" s="361"/>
      <c r="AN619" s="361"/>
      <c r="AO619" s="361"/>
      <c r="AP619" s="361"/>
      <c r="AQ619" s="361">
        <v>4</v>
      </c>
      <c r="AR619" s="361"/>
      <c r="AS619" s="361"/>
      <c r="AT619" s="361"/>
      <c r="AU619" s="361"/>
      <c r="AV619" s="338" t="s">
        <v>217</v>
      </c>
      <c r="AW619" s="338" t="s">
        <v>217</v>
      </c>
      <c r="AX619" s="432" t="s">
        <v>1664</v>
      </c>
      <c r="AY619" s="433" t="s">
        <v>1664</v>
      </c>
      <c r="AZ619" s="434" t="s">
        <v>1665</v>
      </c>
      <c r="BA619" s="432"/>
      <c r="BB619" s="432"/>
      <c r="BC619" s="195" t="s">
        <v>270</v>
      </c>
      <c r="BD619" s="195"/>
      <c r="BE619" s="195"/>
      <c r="BF619" s="195" t="s">
        <v>263</v>
      </c>
      <c r="BG619" s="195"/>
      <c r="BH619" s="432"/>
    </row>
    <row r="620" spans="1:60" ht="40" customHeight="1">
      <c r="A620" s="348">
        <f>SUBTOTAL(3,C$11:$C620)</f>
        <v>430</v>
      </c>
      <c r="B620" s="337" t="s">
        <v>905</v>
      </c>
      <c r="C620" s="338" t="s">
        <v>55</v>
      </c>
      <c r="D620" s="361">
        <v>1.4500000000000001E-2</v>
      </c>
      <c r="E620" s="361">
        <v>1.4500000000000001E-2</v>
      </c>
      <c r="F620" s="361"/>
      <c r="G620" s="414">
        <f t="shared" si="87"/>
        <v>1.4500000000000001E-2</v>
      </c>
      <c r="H620" s="413" t="s">
        <v>55</v>
      </c>
      <c r="I620" s="413" t="s">
        <v>55</v>
      </c>
      <c r="J620" s="413"/>
      <c r="K620" s="413" t="str">
        <f t="shared" si="88"/>
        <v xml:space="preserve">ODT, </v>
      </c>
      <c r="L620" s="413" t="str">
        <f t="shared" si="89"/>
        <v>ODT:0,0145;</v>
      </c>
      <c r="M620" s="361"/>
      <c r="N620" s="361"/>
      <c r="O620" s="361"/>
      <c r="P620" s="361"/>
      <c r="Q620" s="361"/>
      <c r="R620" s="361"/>
      <c r="S620" s="361"/>
      <c r="T620" s="361"/>
      <c r="U620" s="361"/>
      <c r="V620" s="361"/>
      <c r="W620" s="361"/>
      <c r="X620" s="361"/>
      <c r="Y620" s="361"/>
      <c r="Z620" s="361"/>
      <c r="AA620" s="361"/>
      <c r="AB620" s="361"/>
      <c r="AC620" s="361"/>
      <c r="AD620" s="361"/>
      <c r="AE620" s="361"/>
      <c r="AF620" s="361"/>
      <c r="AG620" s="361"/>
      <c r="AH620" s="361"/>
      <c r="AI620" s="361"/>
      <c r="AJ620" s="361"/>
      <c r="AK620" s="361"/>
      <c r="AL620" s="361"/>
      <c r="AM620" s="361">
        <v>1.4500000000000001E-2</v>
      </c>
      <c r="AN620" s="361"/>
      <c r="AO620" s="361"/>
      <c r="AP620" s="361"/>
      <c r="AQ620" s="361"/>
      <c r="AR620" s="361"/>
      <c r="AS620" s="361"/>
      <c r="AT620" s="361"/>
      <c r="AU620" s="361"/>
      <c r="AV620" s="338" t="s">
        <v>217</v>
      </c>
      <c r="AW620" s="338" t="s">
        <v>217</v>
      </c>
      <c r="AX620" s="432" t="s">
        <v>906</v>
      </c>
      <c r="AY620" s="433" t="s">
        <v>906</v>
      </c>
      <c r="AZ620" s="434" t="s">
        <v>1666</v>
      </c>
      <c r="BA620" s="432"/>
      <c r="BB620" s="432"/>
      <c r="BC620" s="195" t="s">
        <v>270</v>
      </c>
      <c r="BD620" s="195"/>
      <c r="BE620" s="195"/>
      <c r="BF620" s="195" t="s">
        <v>263</v>
      </c>
      <c r="BG620" s="195"/>
      <c r="BH620" s="432"/>
    </row>
    <row r="621" spans="1:60" ht="40" customHeight="1">
      <c r="A621" s="348">
        <f>SUBTOTAL(3,C$11:$C621)</f>
        <v>431</v>
      </c>
      <c r="B621" s="337" t="s">
        <v>907</v>
      </c>
      <c r="C621" s="338" t="s">
        <v>55</v>
      </c>
      <c r="D621" s="361">
        <v>6.7000000000000004E-2</v>
      </c>
      <c r="E621" s="366"/>
      <c r="F621" s="361">
        <v>6.7000000000000004E-2</v>
      </c>
      <c r="G621" s="414">
        <f t="shared" si="87"/>
        <v>6.7000000000000004E-2</v>
      </c>
      <c r="H621" s="413" t="s">
        <v>24</v>
      </c>
      <c r="I621" s="413" t="s">
        <v>24</v>
      </c>
      <c r="J621" s="413"/>
      <c r="K621" s="413" t="str">
        <f t="shared" si="88"/>
        <v xml:space="preserve">TSC, </v>
      </c>
      <c r="L621" s="413" t="str">
        <f t="shared" si="89"/>
        <v>TSC:0,067;</v>
      </c>
      <c r="M621" s="361"/>
      <c r="N621" s="361"/>
      <c r="O621" s="361"/>
      <c r="P621" s="361"/>
      <c r="Q621" s="361"/>
      <c r="R621" s="361"/>
      <c r="S621" s="361"/>
      <c r="T621" s="361"/>
      <c r="U621" s="361"/>
      <c r="V621" s="361"/>
      <c r="W621" s="361"/>
      <c r="X621" s="361"/>
      <c r="Y621" s="361"/>
      <c r="Z621" s="361"/>
      <c r="AA621" s="361"/>
      <c r="AB621" s="361"/>
      <c r="AC621" s="361"/>
      <c r="AD621" s="361"/>
      <c r="AE621" s="361"/>
      <c r="AF621" s="361"/>
      <c r="AG621" s="361"/>
      <c r="AH621" s="361"/>
      <c r="AI621" s="361"/>
      <c r="AJ621" s="361"/>
      <c r="AK621" s="361"/>
      <c r="AL621" s="361"/>
      <c r="AM621" s="361"/>
      <c r="AN621" s="361">
        <v>6.7000000000000004E-2</v>
      </c>
      <c r="AO621" s="361"/>
      <c r="AP621" s="361"/>
      <c r="AQ621" s="361"/>
      <c r="AR621" s="361"/>
      <c r="AS621" s="361"/>
      <c r="AT621" s="361"/>
      <c r="AU621" s="361"/>
      <c r="AV621" s="338" t="s">
        <v>217</v>
      </c>
      <c r="AW621" s="338" t="s">
        <v>217</v>
      </c>
      <c r="AX621" s="432" t="s">
        <v>908</v>
      </c>
      <c r="AY621" s="433" t="s">
        <v>908</v>
      </c>
      <c r="AZ621" s="434" t="s">
        <v>1667</v>
      </c>
      <c r="BA621" s="432"/>
      <c r="BB621" s="432"/>
      <c r="BC621" s="195" t="s">
        <v>270</v>
      </c>
      <c r="BD621" s="195"/>
      <c r="BE621" s="195"/>
      <c r="BF621" s="195" t="s">
        <v>263</v>
      </c>
      <c r="BG621" s="195"/>
      <c r="BH621" s="432"/>
    </row>
    <row r="622" spans="1:60" ht="40" customHeight="1">
      <c r="A622" s="348">
        <f>SUBTOTAL(3,C$11:$C622)</f>
        <v>432</v>
      </c>
      <c r="B622" s="337" t="s">
        <v>909</v>
      </c>
      <c r="C622" s="338" t="s">
        <v>55</v>
      </c>
      <c r="D622" s="361">
        <v>0.02</v>
      </c>
      <c r="E622" s="361">
        <v>0.02</v>
      </c>
      <c r="F622" s="361"/>
      <c r="G622" s="414">
        <f t="shared" si="87"/>
        <v>0.02</v>
      </c>
      <c r="H622" s="413" t="s">
        <v>55</v>
      </c>
      <c r="I622" s="413" t="s">
        <v>55</v>
      </c>
      <c r="J622" s="413"/>
      <c r="K622" s="413" t="str">
        <f t="shared" si="88"/>
        <v xml:space="preserve">ODT, </v>
      </c>
      <c r="L622" s="413" t="str">
        <f t="shared" si="89"/>
        <v>ODT:0,02;</v>
      </c>
      <c r="M622" s="361"/>
      <c r="N622" s="361"/>
      <c r="O622" s="361"/>
      <c r="P622" s="361"/>
      <c r="Q622" s="361"/>
      <c r="R622" s="361"/>
      <c r="S622" s="361"/>
      <c r="T622" s="361"/>
      <c r="U622" s="361"/>
      <c r="V622" s="361"/>
      <c r="W622" s="361"/>
      <c r="X622" s="361"/>
      <c r="Y622" s="361"/>
      <c r="Z622" s="361"/>
      <c r="AA622" s="361"/>
      <c r="AB622" s="361"/>
      <c r="AC622" s="361"/>
      <c r="AD622" s="361"/>
      <c r="AE622" s="361"/>
      <c r="AF622" s="361"/>
      <c r="AG622" s="361"/>
      <c r="AH622" s="361"/>
      <c r="AI622" s="361"/>
      <c r="AJ622" s="361"/>
      <c r="AK622" s="361"/>
      <c r="AL622" s="361"/>
      <c r="AM622" s="361">
        <v>0.02</v>
      </c>
      <c r="AN622" s="361"/>
      <c r="AO622" s="361"/>
      <c r="AP622" s="361"/>
      <c r="AQ622" s="361"/>
      <c r="AR622" s="361"/>
      <c r="AS622" s="361"/>
      <c r="AT622" s="361"/>
      <c r="AU622" s="361"/>
      <c r="AV622" s="338" t="s">
        <v>217</v>
      </c>
      <c r="AW622" s="338" t="s">
        <v>217</v>
      </c>
      <c r="AX622" s="432" t="s">
        <v>910</v>
      </c>
      <c r="AY622" s="433" t="s">
        <v>910</v>
      </c>
      <c r="AZ622" s="434" t="s">
        <v>1668</v>
      </c>
      <c r="BA622" s="432"/>
      <c r="BB622" s="432"/>
      <c r="BC622" s="195" t="s">
        <v>270</v>
      </c>
      <c r="BD622" s="195"/>
      <c r="BE622" s="195"/>
      <c r="BF622" s="195" t="s">
        <v>263</v>
      </c>
      <c r="BG622" s="195"/>
      <c r="BH622" s="432"/>
    </row>
    <row r="623" spans="1:60" ht="40" customHeight="1">
      <c r="A623" s="348">
        <f>SUBTOTAL(3,C$11:$C623)</f>
        <v>433</v>
      </c>
      <c r="B623" s="337" t="s">
        <v>911</v>
      </c>
      <c r="C623" s="338" t="s">
        <v>55</v>
      </c>
      <c r="D623" s="148">
        <v>4.0000000000000001E-3</v>
      </c>
      <c r="E623" s="149"/>
      <c r="F623" s="148">
        <v>4.0000000000000001E-3</v>
      </c>
      <c r="G623" s="414">
        <f t="shared" si="87"/>
        <v>4.0000000000000001E-3</v>
      </c>
      <c r="H623" s="413" t="s">
        <v>11</v>
      </c>
      <c r="I623" s="413" t="s">
        <v>11</v>
      </c>
      <c r="J623" s="413"/>
      <c r="K623" s="413" t="str">
        <f t="shared" si="88"/>
        <v xml:space="preserve">HNK, </v>
      </c>
      <c r="L623" s="413" t="str">
        <f t="shared" si="89"/>
        <v>HNK:0,004;</v>
      </c>
      <c r="M623" s="361"/>
      <c r="N623" s="361"/>
      <c r="O623" s="148">
        <v>4.0000000000000001E-3</v>
      </c>
      <c r="P623" s="361"/>
      <c r="Q623" s="361"/>
      <c r="R623" s="361"/>
      <c r="S623" s="361"/>
      <c r="T623" s="361"/>
      <c r="U623" s="361"/>
      <c r="V623" s="361"/>
      <c r="W623" s="361"/>
      <c r="X623" s="361"/>
      <c r="Y623" s="361"/>
      <c r="Z623" s="361"/>
      <c r="AA623" s="361"/>
      <c r="AB623" s="361"/>
      <c r="AC623" s="361"/>
      <c r="AD623" s="361"/>
      <c r="AE623" s="361"/>
      <c r="AF623" s="361"/>
      <c r="AG623" s="361"/>
      <c r="AH623" s="361"/>
      <c r="AI623" s="361"/>
      <c r="AJ623" s="361"/>
      <c r="AK623" s="361"/>
      <c r="AL623" s="361"/>
      <c r="AM623" s="148"/>
      <c r="AN623" s="361"/>
      <c r="AO623" s="361"/>
      <c r="AP623" s="361"/>
      <c r="AQ623" s="361"/>
      <c r="AR623" s="361"/>
      <c r="AS623" s="361"/>
      <c r="AT623" s="361"/>
      <c r="AU623" s="361"/>
      <c r="AV623" s="338" t="s">
        <v>217</v>
      </c>
      <c r="AW623" s="338" t="s">
        <v>217</v>
      </c>
      <c r="AX623" s="432" t="s">
        <v>912</v>
      </c>
      <c r="AY623" s="433" t="s">
        <v>912</v>
      </c>
      <c r="AZ623" s="434" t="s">
        <v>1669</v>
      </c>
      <c r="BA623" s="432"/>
      <c r="BB623" s="432"/>
      <c r="BC623" s="195" t="s">
        <v>270</v>
      </c>
      <c r="BD623" s="195"/>
      <c r="BE623" s="195"/>
      <c r="BF623" s="195" t="s">
        <v>263</v>
      </c>
      <c r="BG623" s="195"/>
      <c r="BH623" s="432"/>
    </row>
    <row r="624" spans="1:60" ht="40" customHeight="1">
      <c r="A624" s="348">
        <f>SUBTOTAL(3,C$11:$C624)</f>
        <v>434</v>
      </c>
      <c r="B624" s="337" t="s">
        <v>913</v>
      </c>
      <c r="C624" s="338" t="s">
        <v>55</v>
      </c>
      <c r="D624" s="361">
        <v>7.1599999999999997E-2</v>
      </c>
      <c r="E624" s="366"/>
      <c r="F624" s="361">
        <v>7.1599999999999997E-2</v>
      </c>
      <c r="G624" s="414">
        <f t="shared" si="87"/>
        <v>7.1599999999999997E-2</v>
      </c>
      <c r="H624" s="413" t="s">
        <v>48</v>
      </c>
      <c r="I624" s="413" t="s">
        <v>48</v>
      </c>
      <c r="J624" s="413"/>
      <c r="K624" s="413" t="str">
        <f t="shared" si="88"/>
        <v xml:space="preserve">DGD, </v>
      </c>
      <c r="L624" s="413" t="str">
        <f t="shared" si="89"/>
        <v>DGD:0,0716;</v>
      </c>
      <c r="M624" s="361"/>
      <c r="N624" s="361"/>
      <c r="O624" s="361"/>
      <c r="P624" s="361"/>
      <c r="Q624" s="361"/>
      <c r="R624" s="361"/>
      <c r="S624" s="361"/>
      <c r="T624" s="361"/>
      <c r="U624" s="361"/>
      <c r="V624" s="361"/>
      <c r="W624" s="361"/>
      <c r="X624" s="361"/>
      <c r="Y624" s="361"/>
      <c r="Z624" s="361"/>
      <c r="AA624" s="361">
        <v>7.1599999999999997E-2</v>
      </c>
      <c r="AB624" s="361"/>
      <c r="AC624" s="361"/>
      <c r="AD624" s="361"/>
      <c r="AE624" s="361"/>
      <c r="AF624" s="361"/>
      <c r="AG624" s="361"/>
      <c r="AH624" s="361"/>
      <c r="AI624" s="361"/>
      <c r="AJ624" s="361"/>
      <c r="AK624" s="361"/>
      <c r="AL624" s="361"/>
      <c r="AM624" s="361"/>
      <c r="AN624" s="361"/>
      <c r="AO624" s="361"/>
      <c r="AP624" s="361"/>
      <c r="AQ624" s="361"/>
      <c r="AR624" s="361"/>
      <c r="AS624" s="361"/>
      <c r="AT624" s="361"/>
      <c r="AU624" s="361"/>
      <c r="AV624" s="338" t="s">
        <v>217</v>
      </c>
      <c r="AW624" s="338" t="s">
        <v>217</v>
      </c>
      <c r="AX624" s="432" t="s">
        <v>914</v>
      </c>
      <c r="AY624" s="433" t="s">
        <v>914</v>
      </c>
      <c r="AZ624" s="434" t="s">
        <v>1670</v>
      </c>
      <c r="BA624" s="432"/>
      <c r="BB624" s="432"/>
      <c r="BC624" s="195" t="s">
        <v>270</v>
      </c>
      <c r="BD624" s="195"/>
      <c r="BE624" s="195"/>
      <c r="BF624" s="195" t="s">
        <v>263</v>
      </c>
      <c r="BG624" s="195"/>
      <c r="BH624" s="432"/>
    </row>
    <row r="625" spans="1:62" ht="40" customHeight="1">
      <c r="A625" s="348">
        <f>SUBTOTAL(3,C$11:$C625)</f>
        <v>435</v>
      </c>
      <c r="B625" s="337" t="s">
        <v>915</v>
      </c>
      <c r="C625" s="338" t="s">
        <v>55</v>
      </c>
      <c r="D625" s="361">
        <v>0.01</v>
      </c>
      <c r="E625" s="361">
        <v>0.01</v>
      </c>
      <c r="F625" s="361"/>
      <c r="G625" s="414">
        <f t="shared" si="87"/>
        <v>0.01</v>
      </c>
      <c r="H625" s="413" t="s">
        <v>55</v>
      </c>
      <c r="I625" s="413" t="s">
        <v>55</v>
      </c>
      <c r="J625" s="413"/>
      <c r="K625" s="413" t="str">
        <f t="shared" si="88"/>
        <v xml:space="preserve">ODT, </v>
      </c>
      <c r="L625" s="413" t="str">
        <f t="shared" si="89"/>
        <v>ODT:0,01;</v>
      </c>
      <c r="M625" s="361"/>
      <c r="N625" s="361"/>
      <c r="O625" s="361"/>
      <c r="P625" s="361"/>
      <c r="Q625" s="361"/>
      <c r="R625" s="361"/>
      <c r="S625" s="361"/>
      <c r="T625" s="361"/>
      <c r="U625" s="361"/>
      <c r="V625" s="361"/>
      <c r="W625" s="361"/>
      <c r="X625" s="361"/>
      <c r="Y625" s="361"/>
      <c r="Z625" s="361"/>
      <c r="AA625" s="361"/>
      <c r="AB625" s="361"/>
      <c r="AC625" s="361"/>
      <c r="AD625" s="361"/>
      <c r="AE625" s="361"/>
      <c r="AF625" s="361"/>
      <c r="AG625" s="361"/>
      <c r="AH625" s="361"/>
      <c r="AI625" s="361"/>
      <c r="AJ625" s="361"/>
      <c r="AK625" s="361"/>
      <c r="AL625" s="361"/>
      <c r="AM625" s="361">
        <v>0.01</v>
      </c>
      <c r="AN625" s="361"/>
      <c r="AO625" s="361"/>
      <c r="AP625" s="361"/>
      <c r="AQ625" s="361"/>
      <c r="AR625" s="361"/>
      <c r="AS625" s="361"/>
      <c r="AT625" s="361"/>
      <c r="AU625" s="361"/>
      <c r="AV625" s="338" t="s">
        <v>217</v>
      </c>
      <c r="AW625" s="338" t="s">
        <v>217</v>
      </c>
      <c r="AX625" s="432" t="s">
        <v>916</v>
      </c>
      <c r="AY625" s="433" t="s">
        <v>916</v>
      </c>
      <c r="AZ625" s="434" t="s">
        <v>1671</v>
      </c>
      <c r="BA625" s="432"/>
      <c r="BB625" s="432"/>
      <c r="BC625" s="195" t="s">
        <v>270</v>
      </c>
      <c r="BD625" s="195"/>
      <c r="BE625" s="195"/>
      <c r="BF625" s="195" t="s">
        <v>263</v>
      </c>
      <c r="BG625" s="195"/>
      <c r="BH625" s="432"/>
    </row>
    <row r="626" spans="1:62" ht="40" customHeight="1">
      <c r="A626" s="348">
        <f>SUBTOTAL(3,C$11:$C626)</f>
        <v>436</v>
      </c>
      <c r="B626" s="337" t="s">
        <v>917</v>
      </c>
      <c r="C626" s="338" t="s">
        <v>55</v>
      </c>
      <c r="D626" s="361">
        <v>0.05</v>
      </c>
      <c r="E626" s="366"/>
      <c r="F626" s="361">
        <v>0.05</v>
      </c>
      <c r="G626" s="414">
        <f t="shared" si="87"/>
        <v>0.05</v>
      </c>
      <c r="H626" s="413" t="s">
        <v>5</v>
      </c>
      <c r="I626" s="413" t="s">
        <v>7</v>
      </c>
      <c r="J626" s="413"/>
      <c r="K626" s="413" t="str">
        <f t="shared" si="88"/>
        <v xml:space="preserve">LUC, </v>
      </c>
      <c r="L626" s="413" t="str">
        <f t="shared" si="89"/>
        <v>LUC:0,05;</v>
      </c>
      <c r="M626" s="361">
        <v>0.05</v>
      </c>
      <c r="N626" s="361"/>
      <c r="O626" s="361"/>
      <c r="P626" s="361"/>
      <c r="Q626" s="361"/>
      <c r="R626" s="361"/>
      <c r="S626" s="361"/>
      <c r="T626" s="361"/>
      <c r="U626" s="361"/>
      <c r="V626" s="361"/>
      <c r="W626" s="361"/>
      <c r="X626" s="361"/>
      <c r="Y626" s="361"/>
      <c r="Z626" s="361"/>
      <c r="AA626" s="361"/>
      <c r="AB626" s="361"/>
      <c r="AC626" s="361"/>
      <c r="AD626" s="361"/>
      <c r="AE626" s="361"/>
      <c r="AF626" s="361"/>
      <c r="AG626" s="361"/>
      <c r="AH626" s="361"/>
      <c r="AI626" s="361"/>
      <c r="AJ626" s="361"/>
      <c r="AK626" s="361"/>
      <c r="AL626" s="361"/>
      <c r="AM626" s="361"/>
      <c r="AN626" s="361"/>
      <c r="AO626" s="361"/>
      <c r="AP626" s="361"/>
      <c r="AQ626" s="361"/>
      <c r="AR626" s="361"/>
      <c r="AS626" s="361"/>
      <c r="AT626" s="361"/>
      <c r="AU626" s="361"/>
      <c r="AV626" s="338" t="s">
        <v>217</v>
      </c>
      <c r="AW626" s="338" t="s">
        <v>217</v>
      </c>
      <c r="AX626" s="432" t="s">
        <v>918</v>
      </c>
      <c r="AY626" s="433" t="s">
        <v>918</v>
      </c>
      <c r="AZ626" s="434" t="s">
        <v>1672</v>
      </c>
      <c r="BA626" s="432"/>
      <c r="BB626" s="432"/>
      <c r="BC626" s="195" t="s">
        <v>270</v>
      </c>
      <c r="BD626" s="195"/>
      <c r="BE626" s="195"/>
      <c r="BF626" s="195" t="s">
        <v>263</v>
      </c>
      <c r="BG626" s="195"/>
      <c r="BH626" s="432"/>
    </row>
    <row r="627" spans="1:62" ht="40" customHeight="1">
      <c r="A627" s="348">
        <f>SUBTOTAL(3,C$11:$C627)</f>
        <v>437</v>
      </c>
      <c r="B627" s="337" t="s">
        <v>919</v>
      </c>
      <c r="C627" s="338" t="s">
        <v>55</v>
      </c>
      <c r="D627" s="361">
        <v>0.32</v>
      </c>
      <c r="E627" s="366"/>
      <c r="F627" s="361">
        <v>0.32</v>
      </c>
      <c r="G627" s="414">
        <f t="shared" si="87"/>
        <v>0.32</v>
      </c>
      <c r="H627" s="413" t="s">
        <v>1013</v>
      </c>
      <c r="I627" s="413" t="s">
        <v>1013</v>
      </c>
      <c r="J627" s="413"/>
      <c r="K627" s="413" t="str">
        <f t="shared" si="88"/>
        <v xml:space="preserve">DGD, TSC, </v>
      </c>
      <c r="L627" s="413" t="str">
        <f t="shared" si="89"/>
        <v>DGD:0,0309677419354839;TSC:0,289032258064516;</v>
      </c>
      <c r="M627" s="361"/>
      <c r="N627" s="361"/>
      <c r="O627" s="361"/>
      <c r="P627" s="361"/>
      <c r="Q627" s="361"/>
      <c r="R627" s="361"/>
      <c r="S627" s="361"/>
      <c r="T627" s="361"/>
      <c r="U627" s="361"/>
      <c r="V627" s="361"/>
      <c r="W627" s="361"/>
      <c r="X627" s="361"/>
      <c r="Y627" s="361"/>
      <c r="Z627" s="361"/>
      <c r="AA627" s="361">
        <f>0.03/96.875%</f>
        <v>3.0967741935483871E-2</v>
      </c>
      <c r="AB627" s="361"/>
      <c r="AC627" s="361"/>
      <c r="AD627" s="361"/>
      <c r="AE627" s="361"/>
      <c r="AF627" s="361"/>
      <c r="AG627" s="361"/>
      <c r="AH627" s="361"/>
      <c r="AI627" s="361"/>
      <c r="AJ627" s="361"/>
      <c r="AK627" s="361"/>
      <c r="AL627" s="361"/>
      <c r="AM627" s="361"/>
      <c r="AN627" s="361">
        <f>0.28/96.875%</f>
        <v>0.28903225806451616</v>
      </c>
      <c r="AO627" s="361"/>
      <c r="AP627" s="361"/>
      <c r="AQ627" s="361"/>
      <c r="AR627" s="361"/>
      <c r="AS627" s="361"/>
      <c r="AT627" s="361"/>
      <c r="AU627" s="361"/>
      <c r="AV627" s="338" t="s">
        <v>217</v>
      </c>
      <c r="AW627" s="338" t="s">
        <v>217</v>
      </c>
      <c r="AX627" s="432" t="s">
        <v>920</v>
      </c>
      <c r="AY627" s="433" t="s">
        <v>920</v>
      </c>
      <c r="AZ627" s="434" t="s">
        <v>1673</v>
      </c>
      <c r="BA627" s="432"/>
      <c r="BB627" s="432"/>
      <c r="BC627" s="195" t="s">
        <v>270</v>
      </c>
      <c r="BD627" s="195"/>
      <c r="BE627" s="195"/>
      <c r="BF627" s="195" t="s">
        <v>263</v>
      </c>
      <c r="BG627" s="195"/>
      <c r="BH627" s="432"/>
    </row>
    <row r="628" spans="1:62" ht="40" customHeight="1">
      <c r="A628" s="348">
        <f>SUBTOTAL(3,C$11:$C628)</f>
        <v>438</v>
      </c>
      <c r="B628" s="337" t="s">
        <v>921</v>
      </c>
      <c r="C628" s="338" t="s">
        <v>55</v>
      </c>
      <c r="D628" s="361">
        <v>0.18</v>
      </c>
      <c r="E628" s="366"/>
      <c r="F628" s="361">
        <v>0.18</v>
      </c>
      <c r="G628" s="414">
        <f t="shared" si="87"/>
        <v>0.18</v>
      </c>
      <c r="H628" s="413" t="s">
        <v>40</v>
      </c>
      <c r="I628" s="413" t="s">
        <v>40</v>
      </c>
      <c r="J628" s="413"/>
      <c r="K628" s="413" t="str">
        <f t="shared" si="88"/>
        <v xml:space="preserve">SON, </v>
      </c>
      <c r="L628" s="413" t="str">
        <f t="shared" si="89"/>
        <v>SON:0,18;</v>
      </c>
      <c r="M628" s="361"/>
      <c r="N628" s="361"/>
      <c r="O628" s="361"/>
      <c r="P628" s="361"/>
      <c r="Q628" s="361"/>
      <c r="R628" s="361"/>
      <c r="S628" s="361"/>
      <c r="T628" s="361"/>
      <c r="U628" s="361"/>
      <c r="V628" s="361"/>
      <c r="W628" s="361"/>
      <c r="X628" s="361"/>
      <c r="Y628" s="361"/>
      <c r="Z628" s="361"/>
      <c r="AA628" s="361"/>
      <c r="AB628" s="361"/>
      <c r="AC628" s="361"/>
      <c r="AD628" s="361"/>
      <c r="AE628" s="361"/>
      <c r="AF628" s="361"/>
      <c r="AG628" s="361"/>
      <c r="AH628" s="361"/>
      <c r="AI628" s="361"/>
      <c r="AJ628" s="361"/>
      <c r="AK628" s="361"/>
      <c r="AL628" s="361"/>
      <c r="AM628" s="361"/>
      <c r="AN628" s="361"/>
      <c r="AO628" s="361"/>
      <c r="AP628" s="361"/>
      <c r="AQ628" s="361">
        <v>0.18</v>
      </c>
      <c r="AR628" s="361"/>
      <c r="AS628" s="361"/>
      <c r="AT628" s="361"/>
      <c r="AU628" s="361"/>
      <c r="AV628" s="338" t="s">
        <v>217</v>
      </c>
      <c r="AW628" s="338" t="s">
        <v>217</v>
      </c>
      <c r="AX628" s="432" t="s">
        <v>922</v>
      </c>
      <c r="AY628" s="433" t="s">
        <v>922</v>
      </c>
      <c r="AZ628" s="434"/>
      <c r="BA628" s="432"/>
      <c r="BB628" s="432"/>
      <c r="BC628" s="195" t="s">
        <v>270</v>
      </c>
      <c r="BD628" s="195"/>
      <c r="BE628" s="195"/>
      <c r="BF628" s="195" t="s">
        <v>263</v>
      </c>
      <c r="BG628" s="195"/>
      <c r="BH628" s="432"/>
    </row>
    <row r="629" spans="1:62" ht="44.25" customHeight="1">
      <c r="A629" s="348">
        <f>SUBTOTAL(3,C$11:$C629)</f>
        <v>439</v>
      </c>
      <c r="B629" s="337" t="s">
        <v>923</v>
      </c>
      <c r="C629" s="338" t="s">
        <v>55</v>
      </c>
      <c r="D629" s="361">
        <v>0.15</v>
      </c>
      <c r="E629" s="366"/>
      <c r="F629" s="361">
        <v>0.15</v>
      </c>
      <c r="G629" s="414">
        <f t="shared" si="87"/>
        <v>0.15</v>
      </c>
      <c r="H629" s="413" t="s">
        <v>11</v>
      </c>
      <c r="I629" s="413" t="s">
        <v>11</v>
      </c>
      <c r="J629" s="413"/>
      <c r="K629" s="413" t="str">
        <f t="shared" si="88"/>
        <v xml:space="preserve">HNK, </v>
      </c>
      <c r="L629" s="413" t="str">
        <f t="shared" si="89"/>
        <v>HNK:0,15;</v>
      </c>
      <c r="M629" s="361"/>
      <c r="N629" s="361"/>
      <c r="O629" s="361">
        <v>0.15</v>
      </c>
      <c r="P629" s="361"/>
      <c r="Q629" s="361"/>
      <c r="R629" s="361"/>
      <c r="S629" s="361"/>
      <c r="T629" s="361"/>
      <c r="U629" s="361"/>
      <c r="V629" s="361"/>
      <c r="W629" s="361"/>
      <c r="X629" s="361"/>
      <c r="Y629" s="361"/>
      <c r="Z629" s="361"/>
      <c r="AA629" s="361"/>
      <c r="AB629" s="361"/>
      <c r="AC629" s="361"/>
      <c r="AD629" s="361"/>
      <c r="AE629" s="361"/>
      <c r="AF629" s="361"/>
      <c r="AG629" s="361"/>
      <c r="AH629" s="361"/>
      <c r="AI629" s="361"/>
      <c r="AJ629" s="361"/>
      <c r="AK629" s="361"/>
      <c r="AL629" s="361"/>
      <c r="AM629" s="361"/>
      <c r="AN629" s="361"/>
      <c r="AO629" s="361"/>
      <c r="AP629" s="361"/>
      <c r="AQ629" s="361"/>
      <c r="AR629" s="361"/>
      <c r="AS629" s="361"/>
      <c r="AT629" s="361"/>
      <c r="AU629" s="361"/>
      <c r="AV629" s="338" t="s">
        <v>217</v>
      </c>
      <c r="AW629" s="338" t="s">
        <v>217</v>
      </c>
      <c r="AX629" s="432" t="s">
        <v>924</v>
      </c>
      <c r="AY629" s="433" t="s">
        <v>924</v>
      </c>
      <c r="AZ629" s="434"/>
      <c r="BA629" s="432"/>
      <c r="BB629" s="432"/>
      <c r="BC629" s="195" t="s">
        <v>270</v>
      </c>
      <c r="BD629" s="195"/>
      <c r="BE629" s="195"/>
      <c r="BF629" s="195" t="s">
        <v>263</v>
      </c>
      <c r="BG629" s="195"/>
      <c r="BH629" s="432"/>
    </row>
    <row r="630" spans="1:62" ht="44.25" customHeight="1">
      <c r="A630" s="348">
        <f>SUBTOTAL(3,C$11:$C630)</f>
        <v>440</v>
      </c>
      <c r="B630" s="337" t="s">
        <v>925</v>
      </c>
      <c r="C630" s="338" t="s">
        <v>55</v>
      </c>
      <c r="D630" s="361">
        <v>7.8100000000000003E-2</v>
      </c>
      <c r="E630" s="366"/>
      <c r="F630" s="361">
        <v>7.8100000000000003E-2</v>
      </c>
      <c r="G630" s="414">
        <f t="shared" si="87"/>
        <v>0.08</v>
      </c>
      <c r="H630" s="413" t="s">
        <v>11</v>
      </c>
      <c r="I630" s="413" t="s">
        <v>11</v>
      </c>
      <c r="J630" s="413"/>
      <c r="K630" s="413" t="str">
        <f t="shared" si="88"/>
        <v xml:space="preserve">HNK, </v>
      </c>
      <c r="L630" s="413" t="str">
        <f t="shared" si="89"/>
        <v>HNK:0,08;</v>
      </c>
      <c r="M630" s="361"/>
      <c r="N630" s="361"/>
      <c r="O630" s="361">
        <v>0.08</v>
      </c>
      <c r="P630" s="361"/>
      <c r="Q630" s="361"/>
      <c r="R630" s="361"/>
      <c r="S630" s="361"/>
      <c r="T630" s="361"/>
      <c r="U630" s="361"/>
      <c r="V630" s="361"/>
      <c r="W630" s="361"/>
      <c r="X630" s="361"/>
      <c r="Y630" s="361"/>
      <c r="Z630" s="361"/>
      <c r="AA630" s="361"/>
      <c r="AB630" s="361"/>
      <c r="AC630" s="361"/>
      <c r="AD630" s="361"/>
      <c r="AE630" s="361"/>
      <c r="AF630" s="361"/>
      <c r="AG630" s="361"/>
      <c r="AH630" s="361"/>
      <c r="AI630" s="361"/>
      <c r="AJ630" s="361"/>
      <c r="AK630" s="361"/>
      <c r="AL630" s="361"/>
      <c r="AM630" s="361"/>
      <c r="AN630" s="361"/>
      <c r="AO630" s="361"/>
      <c r="AP630" s="361"/>
      <c r="AQ630" s="361"/>
      <c r="AR630" s="361"/>
      <c r="AS630" s="361"/>
      <c r="AT630" s="361"/>
      <c r="AU630" s="361"/>
      <c r="AV630" s="338" t="s">
        <v>217</v>
      </c>
      <c r="AW630" s="338" t="s">
        <v>217</v>
      </c>
      <c r="AX630" s="432" t="s">
        <v>926</v>
      </c>
      <c r="AY630" s="433" t="s">
        <v>926</v>
      </c>
      <c r="AZ630" s="434"/>
      <c r="BA630" s="432"/>
      <c r="BB630" s="432"/>
      <c r="BC630" s="195" t="s">
        <v>270</v>
      </c>
      <c r="BD630" s="195"/>
      <c r="BE630" s="195"/>
      <c r="BF630" s="195" t="s">
        <v>263</v>
      </c>
      <c r="BG630" s="195"/>
      <c r="BH630" s="432"/>
    </row>
    <row r="631" spans="1:62" ht="44.25" customHeight="1">
      <c r="A631" s="348">
        <f>SUBTOTAL(3,C$11:$C631)</f>
        <v>441</v>
      </c>
      <c r="B631" s="337" t="s">
        <v>927</v>
      </c>
      <c r="C631" s="338" t="s">
        <v>55</v>
      </c>
      <c r="D631" s="361">
        <v>4.7199999999999999E-2</v>
      </c>
      <c r="E631" s="366"/>
      <c r="F631" s="361">
        <v>4.7199999999999999E-2</v>
      </c>
      <c r="G631" s="414">
        <f t="shared" si="87"/>
        <v>0.05</v>
      </c>
      <c r="H631" s="413" t="s">
        <v>11</v>
      </c>
      <c r="I631" s="413" t="s">
        <v>11</v>
      </c>
      <c r="J631" s="413"/>
      <c r="K631" s="413" t="str">
        <f t="shared" si="88"/>
        <v xml:space="preserve">HNK, </v>
      </c>
      <c r="L631" s="413" t="str">
        <f t="shared" si="89"/>
        <v>HNK:0,05;</v>
      </c>
      <c r="M631" s="361"/>
      <c r="N631" s="361"/>
      <c r="O631" s="361">
        <v>0.05</v>
      </c>
      <c r="P631" s="361"/>
      <c r="Q631" s="361"/>
      <c r="R631" s="361"/>
      <c r="S631" s="361"/>
      <c r="T631" s="361"/>
      <c r="U631" s="361"/>
      <c r="V631" s="361"/>
      <c r="W631" s="361"/>
      <c r="X631" s="361"/>
      <c r="Y631" s="361"/>
      <c r="Z631" s="361"/>
      <c r="AA631" s="361"/>
      <c r="AB631" s="361"/>
      <c r="AC631" s="361"/>
      <c r="AD631" s="361"/>
      <c r="AE631" s="361"/>
      <c r="AF631" s="361"/>
      <c r="AG631" s="361"/>
      <c r="AH631" s="361"/>
      <c r="AI631" s="361"/>
      <c r="AJ631" s="361"/>
      <c r="AK631" s="361"/>
      <c r="AL631" s="361"/>
      <c r="AM631" s="361"/>
      <c r="AN631" s="361"/>
      <c r="AO631" s="361"/>
      <c r="AP631" s="361"/>
      <c r="AQ631" s="361"/>
      <c r="AR631" s="361"/>
      <c r="AS631" s="361"/>
      <c r="AT631" s="361"/>
      <c r="AU631" s="361"/>
      <c r="AV631" s="338" t="s">
        <v>217</v>
      </c>
      <c r="AW631" s="338" t="s">
        <v>217</v>
      </c>
      <c r="AX631" s="432" t="s">
        <v>928</v>
      </c>
      <c r="AY631" s="433" t="s">
        <v>928</v>
      </c>
      <c r="AZ631" s="434"/>
      <c r="BA631" s="432"/>
      <c r="BB631" s="432"/>
      <c r="BC631" s="195" t="s">
        <v>270</v>
      </c>
      <c r="BD631" s="195"/>
      <c r="BE631" s="195"/>
      <c r="BF631" s="195" t="s">
        <v>263</v>
      </c>
      <c r="BG631" s="195"/>
      <c r="BH631" s="432"/>
    </row>
    <row r="632" spans="1:62" ht="44.25" customHeight="1">
      <c r="A632" s="348">
        <f>SUBTOTAL(3,C$11:$C632)</f>
        <v>442</v>
      </c>
      <c r="B632" s="337" t="s">
        <v>929</v>
      </c>
      <c r="C632" s="338" t="s">
        <v>55</v>
      </c>
      <c r="D632" s="361">
        <v>0.08</v>
      </c>
      <c r="E632" s="366"/>
      <c r="F632" s="361">
        <v>0.08</v>
      </c>
      <c r="G632" s="414">
        <f t="shared" si="87"/>
        <v>0.08</v>
      </c>
      <c r="H632" s="413" t="s">
        <v>40</v>
      </c>
      <c r="I632" s="413" t="s">
        <v>40</v>
      </c>
      <c r="J632" s="413"/>
      <c r="K632" s="413" t="str">
        <f t="shared" si="88"/>
        <v xml:space="preserve">SON, </v>
      </c>
      <c r="L632" s="413" t="str">
        <f t="shared" si="89"/>
        <v>SON:0,08;</v>
      </c>
      <c r="M632" s="361"/>
      <c r="N632" s="361"/>
      <c r="O632" s="361"/>
      <c r="P632" s="361"/>
      <c r="Q632" s="361"/>
      <c r="R632" s="361"/>
      <c r="S632" s="361"/>
      <c r="T632" s="361"/>
      <c r="U632" s="361"/>
      <c r="V632" s="361"/>
      <c r="W632" s="361"/>
      <c r="X632" s="361"/>
      <c r="Y632" s="361"/>
      <c r="Z632" s="361"/>
      <c r="AA632" s="361"/>
      <c r="AB632" s="361"/>
      <c r="AC632" s="361"/>
      <c r="AD632" s="361"/>
      <c r="AE632" s="361"/>
      <c r="AF632" s="361"/>
      <c r="AG632" s="361"/>
      <c r="AH632" s="361"/>
      <c r="AI632" s="361"/>
      <c r="AJ632" s="361"/>
      <c r="AK632" s="361"/>
      <c r="AL632" s="361"/>
      <c r="AM632" s="361"/>
      <c r="AN632" s="361"/>
      <c r="AO632" s="361"/>
      <c r="AP632" s="361"/>
      <c r="AQ632" s="361">
        <v>0.08</v>
      </c>
      <c r="AR632" s="361"/>
      <c r="AS632" s="361"/>
      <c r="AT632" s="361"/>
      <c r="AU632" s="361"/>
      <c r="AV632" s="338" t="s">
        <v>217</v>
      </c>
      <c r="AW632" s="338" t="s">
        <v>217</v>
      </c>
      <c r="AX632" s="432" t="s">
        <v>930</v>
      </c>
      <c r="AY632" s="433" t="s">
        <v>930</v>
      </c>
      <c r="AZ632" s="434"/>
      <c r="BA632" s="432"/>
      <c r="BB632" s="432"/>
      <c r="BC632" s="195" t="s">
        <v>270</v>
      </c>
      <c r="BD632" s="195"/>
      <c r="BE632" s="195"/>
      <c r="BF632" s="195" t="s">
        <v>263</v>
      </c>
      <c r="BG632" s="195"/>
      <c r="BH632" s="432"/>
    </row>
    <row r="633" spans="1:62" ht="40" customHeight="1">
      <c r="A633" s="348">
        <f>SUBTOTAL(3,C$11:$C633)</f>
        <v>443</v>
      </c>
      <c r="B633" s="337" t="s">
        <v>931</v>
      </c>
      <c r="C633" s="338" t="s">
        <v>55</v>
      </c>
      <c r="D633" s="361">
        <v>0.01</v>
      </c>
      <c r="E633" s="366"/>
      <c r="F633" s="361">
        <v>0.01</v>
      </c>
      <c r="G633" s="414">
        <f t="shared" si="87"/>
        <v>0.01</v>
      </c>
      <c r="H633" s="413" t="s">
        <v>24</v>
      </c>
      <c r="I633" s="413" t="s">
        <v>24</v>
      </c>
      <c r="J633" s="413"/>
      <c r="K633" s="413" t="str">
        <f t="shared" si="88"/>
        <v xml:space="preserve">TSC, </v>
      </c>
      <c r="L633" s="413" t="str">
        <f t="shared" si="89"/>
        <v>TSC:0,01;</v>
      </c>
      <c r="M633" s="361"/>
      <c r="N633" s="361"/>
      <c r="O633" s="361"/>
      <c r="P633" s="361"/>
      <c r="Q633" s="361"/>
      <c r="R633" s="361"/>
      <c r="S633" s="361"/>
      <c r="T633" s="361"/>
      <c r="U633" s="361"/>
      <c r="V633" s="361"/>
      <c r="W633" s="361"/>
      <c r="X633" s="361"/>
      <c r="Y633" s="361"/>
      <c r="Z633" s="361"/>
      <c r="AA633" s="361"/>
      <c r="AB633" s="361"/>
      <c r="AC633" s="361"/>
      <c r="AD633" s="361"/>
      <c r="AE633" s="361"/>
      <c r="AF633" s="361"/>
      <c r="AG633" s="361"/>
      <c r="AH633" s="361"/>
      <c r="AI633" s="361"/>
      <c r="AJ633" s="361"/>
      <c r="AK633" s="361"/>
      <c r="AL633" s="361"/>
      <c r="AM633" s="361"/>
      <c r="AN633" s="361">
        <v>0.01</v>
      </c>
      <c r="AO633" s="361"/>
      <c r="AP633" s="361"/>
      <c r="AQ633" s="361"/>
      <c r="AR633" s="361"/>
      <c r="AS633" s="361"/>
      <c r="AT633" s="361"/>
      <c r="AU633" s="361"/>
      <c r="AV633" s="338" t="s">
        <v>217</v>
      </c>
      <c r="AW633" s="338" t="s">
        <v>217</v>
      </c>
      <c r="AX633" s="432" t="s">
        <v>932</v>
      </c>
      <c r="AY633" s="433" t="s">
        <v>932</v>
      </c>
      <c r="AZ633" s="434"/>
      <c r="BA633" s="432"/>
      <c r="BB633" s="432"/>
      <c r="BC633" s="195" t="s">
        <v>270</v>
      </c>
      <c r="BD633" s="195"/>
      <c r="BE633" s="195"/>
      <c r="BF633" s="195" t="s">
        <v>263</v>
      </c>
      <c r="BG633" s="195"/>
      <c r="BH633" s="432"/>
    </row>
    <row r="634" spans="1:62" ht="40" customHeight="1">
      <c r="A634" s="348">
        <f>SUBTOTAL(3,C$11:$C634)</f>
        <v>444</v>
      </c>
      <c r="B634" s="337" t="s">
        <v>933</v>
      </c>
      <c r="C634" s="338" t="s">
        <v>55</v>
      </c>
      <c r="D634" s="361">
        <v>6</v>
      </c>
      <c r="E634" s="366"/>
      <c r="F634" s="361">
        <v>6</v>
      </c>
      <c r="G634" s="414">
        <f t="shared" si="87"/>
        <v>0</v>
      </c>
      <c r="H634" s="413" t="s">
        <v>11</v>
      </c>
      <c r="I634" s="413" t="s">
        <v>11</v>
      </c>
      <c r="J634" s="413"/>
      <c r="K634" s="413" t="str">
        <f t="shared" si="88"/>
        <v/>
      </c>
      <c r="L634" s="413" t="str">
        <f t="shared" si="89"/>
        <v/>
      </c>
      <c r="M634" s="361"/>
      <c r="N634" s="361"/>
      <c r="O634" s="361"/>
      <c r="P634" s="361"/>
      <c r="Q634" s="361"/>
      <c r="R634" s="361"/>
      <c r="S634" s="361"/>
      <c r="T634" s="361"/>
      <c r="U634" s="361"/>
      <c r="V634" s="361"/>
      <c r="W634" s="361"/>
      <c r="X634" s="361"/>
      <c r="Y634" s="361"/>
      <c r="Z634" s="361"/>
      <c r="AA634" s="361"/>
      <c r="AB634" s="361"/>
      <c r="AC634" s="361"/>
      <c r="AD634" s="361"/>
      <c r="AE634" s="361"/>
      <c r="AF634" s="361"/>
      <c r="AG634" s="361"/>
      <c r="AH634" s="361"/>
      <c r="AI634" s="361"/>
      <c r="AJ634" s="361"/>
      <c r="AK634" s="361"/>
      <c r="AL634" s="361"/>
      <c r="AM634" s="361"/>
      <c r="AN634" s="361"/>
      <c r="AO634" s="361"/>
      <c r="AP634" s="361"/>
      <c r="AQ634" s="361"/>
      <c r="AR634" s="361"/>
      <c r="AS634" s="361"/>
      <c r="AT634" s="361"/>
      <c r="AU634" s="361"/>
      <c r="AV634" s="338" t="s">
        <v>217</v>
      </c>
      <c r="AW634" s="338" t="s">
        <v>217</v>
      </c>
      <c r="AX634" s="432"/>
      <c r="AY634" s="433"/>
      <c r="AZ634" s="434"/>
      <c r="BA634" s="432"/>
      <c r="BB634" s="432"/>
      <c r="BC634" s="195" t="s">
        <v>270</v>
      </c>
      <c r="BD634" s="195"/>
      <c r="BE634" s="195"/>
      <c r="BF634" s="195" t="s">
        <v>263</v>
      </c>
      <c r="BG634" s="195"/>
      <c r="BH634" s="432"/>
    </row>
    <row r="635" spans="1:62" ht="25" customHeight="1">
      <c r="A635" s="529" t="s">
        <v>975</v>
      </c>
      <c r="B635" s="530" t="s">
        <v>95</v>
      </c>
      <c r="C635" s="529"/>
      <c r="D635" s="350"/>
      <c r="E635" s="350"/>
      <c r="F635" s="350"/>
      <c r="G635" s="414"/>
      <c r="H635" s="413"/>
      <c r="I635" s="413"/>
      <c r="J635" s="413"/>
      <c r="K635" s="413" t="str">
        <f>IF(M635&lt;&gt;0,$M$5&amp;", ","")&amp;IF(N635&lt;&gt;0,$N$5&amp;", ","")&amp;IF(O635&lt;&gt;0,O$5&amp;", ","")&amp;IF(P635&lt;&gt;0,P$5&amp;", ","")&amp;IF(Q635&lt;&gt;0,Q$5&amp;", ","")&amp;IF(R635&lt;&gt;0,R$5&amp;", ","")&amp;IF(S635&lt;&gt;0,S$5&amp;", ","")&amp;IF(T635&lt;&gt;0,T$5&amp;", ","")&amp;IF(U635&lt;&gt;0,U$5&amp;", ","")&amp;IF(V635&lt;&gt;0,V$5&amp;", ","")&amp;IF(W635&lt;&gt;0,W$5&amp;", ","")&amp;IF(X635&lt;&gt;0,X$5&amp;", ","")&amp;IF(Y635&lt;&gt;0,Y$5&amp;", ","")&amp;IF(Z635&lt;&gt;0,Z$5&amp;", ","")&amp;IF(AA635&lt;&gt;0,AA$5&amp;", ","")&amp;IF(AB635&lt;&gt;0,AB$5&amp;", ","")&amp;IF(AC635&lt;&gt;0,AC$5&amp;", ","")&amp;IF(AD635&lt;&gt;0,AD$5&amp;", ","")&amp;IF(AE635&lt;&gt;0,AE$5&amp;", ","")&amp;IF(AF635&lt;&gt;0,AF$5&amp;", ","")&amp;IF(AG635&lt;&gt;0,AG$5&amp;", ","")&amp;IF(AH635&lt;&gt;0,AH$5&amp;", ","")&amp;IF(AI635&lt;&gt;0,AI$5&amp;", ","")&amp;IF(AJ635&lt;&gt;0,AJ$5&amp;", ","")&amp;IF(AK635&lt;&gt;0,AK$5&amp;", ","")&amp;IF(AL635&lt;&gt;0,AL$5&amp;", ","")&amp;IF(AM635&lt;&gt;0,AM$5&amp;", ","")&amp;IF(AN635&lt;&gt;0,AN$5&amp;", ","")&amp;IF(AO635&lt;&gt;0,AO$5&amp;", ","")&amp;IF(AP635&lt;&gt;0,AP$5&amp;", ","")&amp;IF(AQ635&lt;&gt;0,AQ$5&amp;", ","")&amp;IF(AR635&lt;&gt;0,AR$5,"")&amp;IF(AS635&lt;&gt;0,AS$5,"")&amp;IF(AT635&lt;&gt;0,AT$5,"")&amp;IF(AU635&lt;&gt;0,AU$5,"")</f>
        <v/>
      </c>
      <c r="L635" s="413" t="str">
        <f>IF(M635="","",$M$5&amp;":"&amp;M635&amp;";")&amp;IF(N635="","",$N$5&amp;":"&amp;N635&amp;";")&amp;IF(O635="","",$O$5&amp;":"&amp;O635&amp;";")&amp;IF(P635="","",$P$5&amp;":"&amp;P635&amp;";")&amp;IF(Q635="","",$Q$5&amp;":"&amp;Q635&amp;";")&amp;IF(R635="","",$R$5&amp;":"&amp;R635&amp;";")&amp;IF(S635="","",$S$5&amp;":"&amp;S635&amp;";")&amp;IF(T635="","",$T$5&amp;":"&amp;T635&amp;";")&amp;IF(U635="","",$U$5&amp;":"&amp;U635&amp;";")&amp;IF(V635="","",$V$5&amp;":"&amp;V635&amp;";")&amp;IF(W635="","",$W$5&amp;":"&amp;W635&amp;";")&amp;IF(X635="","",$X$5&amp;":"&amp;X635&amp;";")&amp;IF(Y635="","",$Y$5&amp;":"&amp;Y635&amp;";")&amp;IF(Z635="","",$Z$5&amp;":"&amp;Z635&amp;";")&amp;IF(AA635="","",$AA$5&amp;":"&amp;AA635&amp;";")&amp;IF(AB635="","",$AB$5&amp;":"&amp;AB635&amp;";")&amp;IF(AC635="","",$AC$5&amp;":"&amp;AC635&amp;";")&amp;IF(AD635="","",$AD$5&amp;":"&amp;AD635&amp;";")&amp;IF(AE635="","",$AE$5&amp;":"&amp;AE635&amp;";")&amp;IF(AF635="","",$AF$5&amp;":"&amp;AF635&amp;";")&amp;IF(AG635="","",$AG$5&amp;":"&amp;AG635&amp;";")&amp;IF(AH635="","",$AH$5&amp;":"&amp;AH635&amp;";")&amp;IF(AI635="","",$AI$5&amp;":"&amp;AI635&amp;";")&amp;IF(AJ635="","",$AJ$5&amp;":"&amp;AJ635&amp;";")&amp;IF(AK635="","",$AK$5&amp;":"&amp;AK635&amp;";")&amp;IF(AL635="","",$AL$5&amp;":"&amp;AL635&amp;";")&amp;IF(AM635="","",$AM$5&amp;":"&amp;AM635&amp;";")&amp;IF(AN635="","",$AN$5&amp;":"&amp;AN635&amp;";")&amp;IF(AO635="","",$AO$5&amp;":"&amp;AO635&amp;";")&amp;IF(AP635="","",$AP$5&amp;":"&amp;AP635&amp;";")&amp;IF(AQ635="","",$AQ$5&amp;":"&amp;AQ635&amp;";")&amp;IF(AR635="","",$AR$5&amp;":"&amp;AR635&amp;";")&amp;IF(AS635="","",$AS$5&amp;":"&amp;AS635&amp;";")&amp;IF(AT635="","",$AT$5&amp;":"&amp;AT635&amp;";")&amp;IF(AU635="","",$AU$5&amp;":"&amp;AU635&amp;";")</f>
        <v/>
      </c>
      <c r="M635" s="350"/>
      <c r="N635" s="350"/>
      <c r="O635" s="350"/>
      <c r="P635" s="350"/>
      <c r="Q635" s="350"/>
      <c r="R635" s="350"/>
      <c r="S635" s="350"/>
      <c r="T635" s="350"/>
      <c r="U635" s="350"/>
      <c r="V635" s="350"/>
      <c r="W635" s="350"/>
      <c r="X635" s="350"/>
      <c r="Y635" s="350"/>
      <c r="Z635" s="350"/>
      <c r="AA635" s="350"/>
      <c r="AB635" s="350"/>
      <c r="AC635" s="350"/>
      <c r="AD635" s="350"/>
      <c r="AE635" s="350"/>
      <c r="AF635" s="350"/>
      <c r="AG635" s="350"/>
      <c r="AH635" s="350"/>
      <c r="AI635" s="350"/>
      <c r="AJ635" s="350"/>
      <c r="AK635" s="350"/>
      <c r="AL635" s="350"/>
      <c r="AM635" s="350"/>
      <c r="AN635" s="350"/>
      <c r="AO635" s="350"/>
      <c r="AP635" s="350"/>
      <c r="AQ635" s="350"/>
      <c r="AR635" s="350"/>
      <c r="AS635" s="350"/>
      <c r="AT635" s="350"/>
      <c r="AU635" s="350"/>
      <c r="AV635" s="350"/>
      <c r="AW635" s="350"/>
      <c r="AX635" s="350"/>
      <c r="AY635" s="356"/>
      <c r="AZ635" s="352"/>
      <c r="BA635" s="350"/>
      <c r="BB635" s="350"/>
      <c r="BC635" s="195"/>
      <c r="BD635" s="195"/>
      <c r="BE635" s="195"/>
      <c r="BF635" s="195"/>
      <c r="BG635" s="195"/>
      <c r="BH635" s="350"/>
    </row>
    <row r="636" spans="1:62" s="179" customFormat="1" ht="24.65" customHeight="1">
      <c r="A636" s="145"/>
      <c r="B636" s="163" t="s">
        <v>1760</v>
      </c>
      <c r="C636" s="164"/>
      <c r="D636" s="368"/>
      <c r="E636" s="368"/>
      <c r="F636" s="368"/>
      <c r="G636" s="410"/>
      <c r="H636" s="411"/>
      <c r="I636" s="411"/>
      <c r="J636" s="411"/>
      <c r="K636" s="411"/>
      <c r="L636" s="411"/>
      <c r="M636" s="368"/>
      <c r="N636" s="368"/>
      <c r="O636" s="368"/>
      <c r="P636" s="368"/>
      <c r="Q636" s="368"/>
      <c r="R636" s="368"/>
      <c r="S636" s="368"/>
      <c r="T636" s="368"/>
      <c r="U636" s="368"/>
      <c r="V636" s="368"/>
      <c r="W636" s="368"/>
      <c r="X636" s="368"/>
      <c r="Y636" s="368"/>
      <c r="Z636" s="368"/>
      <c r="AA636" s="368"/>
      <c r="AB636" s="368"/>
      <c r="AC636" s="368"/>
      <c r="AD636" s="368"/>
      <c r="AE636" s="368"/>
      <c r="AF636" s="368"/>
      <c r="AG636" s="368"/>
      <c r="AH636" s="368"/>
      <c r="AI636" s="368"/>
      <c r="AJ636" s="368"/>
      <c r="AK636" s="368"/>
      <c r="AL636" s="368"/>
      <c r="AM636" s="368"/>
      <c r="AN636" s="368"/>
      <c r="AO636" s="368"/>
      <c r="AP636" s="368"/>
      <c r="AQ636" s="368"/>
      <c r="AR636" s="368"/>
      <c r="AS636" s="368"/>
      <c r="AT636" s="368"/>
      <c r="AU636" s="368"/>
      <c r="AV636" s="368"/>
      <c r="AW636" s="368"/>
      <c r="AX636" s="368"/>
      <c r="AY636" s="257"/>
      <c r="AZ636" s="178"/>
      <c r="BA636" s="368"/>
      <c r="BB636" s="368"/>
      <c r="BC636" s="165"/>
      <c r="BD636" s="165"/>
      <c r="BE636" s="165"/>
      <c r="BF636" s="165"/>
      <c r="BG636" s="165"/>
      <c r="BH636" s="368"/>
      <c r="BI636" s="412"/>
      <c r="BJ636" s="412"/>
    </row>
    <row r="637" spans="1:62" ht="44.25" customHeight="1">
      <c r="A637" s="344">
        <f>SUBTOTAL(3,C$11:$C637)</f>
        <v>445</v>
      </c>
      <c r="B637" s="337" t="s">
        <v>934</v>
      </c>
      <c r="C637" s="338" t="s">
        <v>56</v>
      </c>
      <c r="D637" s="339">
        <v>0.25</v>
      </c>
      <c r="E637" s="339"/>
      <c r="F637" s="339">
        <v>0.25</v>
      </c>
      <c r="G637" s="414">
        <f t="shared" ref="G637:G670" si="90">SUM(M637:AR637)</f>
        <v>0.25</v>
      </c>
      <c r="H637" s="413" t="s">
        <v>1603</v>
      </c>
      <c r="I637" s="413" t="s">
        <v>1603</v>
      </c>
      <c r="J637" s="413"/>
      <c r="K637" s="413" t="str">
        <f t="shared" ref="K637:K671" si="91">IF(M637&lt;&gt;0,$M$5&amp;", ","")&amp;IF(N637&lt;&gt;0,$N$5&amp;", ","")&amp;IF(O637&lt;&gt;0,O$5&amp;", ","")&amp;IF(P637&lt;&gt;0,P$5&amp;", ","")&amp;IF(Q637&lt;&gt;0,Q$5&amp;", ","")&amp;IF(R637&lt;&gt;0,R$5&amp;", ","")&amp;IF(S637&lt;&gt;0,S$5&amp;", ","")&amp;IF(T637&lt;&gt;0,T$5&amp;", ","")&amp;IF(U637&lt;&gt;0,U$5&amp;", ","")&amp;IF(V637&lt;&gt;0,V$5&amp;", ","")&amp;IF(W637&lt;&gt;0,W$5&amp;", ","")&amp;IF(X637&lt;&gt;0,X$5&amp;", ","")&amp;IF(Y637&lt;&gt;0,Y$5&amp;", ","")&amp;IF(Z637&lt;&gt;0,Z$5&amp;", ","")&amp;IF(AA637&lt;&gt;0,AA$5&amp;", ","")&amp;IF(AB637&lt;&gt;0,AB$5&amp;", ","")&amp;IF(AC637&lt;&gt;0,AC$5&amp;", ","")&amp;IF(AD637&lt;&gt;0,AD$5&amp;", ","")&amp;IF(AE637&lt;&gt;0,AE$5&amp;", ","")&amp;IF(AF637&lt;&gt;0,AF$5&amp;", ","")&amp;IF(AG637&lt;&gt;0,AG$5&amp;", ","")&amp;IF(AH637&lt;&gt;0,AH$5&amp;", ","")&amp;IF(AI637&lt;&gt;0,AI$5&amp;", ","")&amp;IF(AJ637&lt;&gt;0,AJ$5&amp;", ","")&amp;IF(AK637&lt;&gt;0,AK$5&amp;", ","")&amp;IF(AL637&lt;&gt;0,AL$5&amp;", ","")&amp;IF(AM637&lt;&gt;0,AM$5&amp;", ","")&amp;IF(AN637&lt;&gt;0,AN$5&amp;", ","")&amp;IF(AO637&lt;&gt;0,AO$5&amp;", ","")&amp;IF(AP637&lt;&gt;0,AP$5&amp;", ","")&amp;IF(AQ637&lt;&gt;0,AQ$5&amp;", ","")&amp;IF(AR637&lt;&gt;0,AR$5,"")&amp;IF(AS637&lt;&gt;0,AS$5,"")&amp;IF(AT637&lt;&gt;0,AT$5,"")&amp;IF(AU637&lt;&gt;0,AU$5,"")</f>
        <v xml:space="preserve">DGD, DSH, </v>
      </c>
      <c r="L637" s="413" t="str">
        <f t="shared" ref="L637:L670" si="92">IF(M637="","",$M$5&amp;":"&amp;M637&amp;";")&amp;IF(N637="","",$N$5&amp;":"&amp;N637&amp;";")&amp;IF(O637="","",$O$5&amp;":"&amp;O637&amp;";")&amp;IF(P637="","",$P$5&amp;":"&amp;P637&amp;";")&amp;IF(Q637="","",$Q$5&amp;":"&amp;Q637&amp;";")&amp;IF(R637="","",$R$5&amp;":"&amp;R637&amp;";")&amp;IF(S637="","",$S$5&amp;":"&amp;S637&amp;";")&amp;IF(T637="","",$T$5&amp;":"&amp;T637&amp;";")&amp;IF(U637="","",$U$5&amp;":"&amp;U637&amp;";")&amp;IF(V637="","",$V$5&amp;":"&amp;V637&amp;";")&amp;IF(W637="","",$W$5&amp;":"&amp;W637&amp;";")&amp;IF(X637="","",$X$5&amp;":"&amp;X637&amp;";")&amp;IF(Y637="","",$Y$5&amp;":"&amp;Y637&amp;";")&amp;IF(Z637="","",$Z$5&amp;":"&amp;Z637&amp;";")&amp;IF(AA637="","",$AA$5&amp;":"&amp;AA637&amp;";")&amp;IF(AB637="","",$AB$5&amp;":"&amp;AB637&amp;";")&amp;IF(AC637="","",$AC$5&amp;":"&amp;AC637&amp;";")&amp;IF(AD637="","",$AD$5&amp;":"&amp;AD637&amp;";")&amp;IF(AE637="","",$AE$5&amp;":"&amp;AE637&amp;";")&amp;IF(AF637="","",$AF$5&amp;":"&amp;AF637&amp;";")&amp;IF(AG637="","",$AG$5&amp;":"&amp;AG637&amp;";")&amp;IF(AH637="","",$AH$5&amp;":"&amp;AH637&amp;";")&amp;IF(AI637="","",$AI$5&amp;":"&amp;AI637&amp;";")&amp;IF(AJ637="","",$AJ$5&amp;":"&amp;AJ637&amp;";")&amp;IF(AK637="","",$AK$5&amp;":"&amp;AK637&amp;";")&amp;IF(AL637="","",$AL$5&amp;":"&amp;AL637&amp;";")&amp;IF(AM637="","",$AM$5&amp;":"&amp;AM637&amp;";")&amp;IF(AN637="","",$AN$5&amp;":"&amp;AN637&amp;";")&amp;IF(AO637="","",$AO$5&amp;":"&amp;AO637&amp;";")&amp;IF(AP637="","",$AP$5&amp;":"&amp;AP637&amp;";")&amp;IF(AQ637="","",$AQ$5&amp;":"&amp;AQ637&amp;";")&amp;IF(AR637="","",$AR$5&amp;":"&amp;AR637&amp;";")&amp;IF(AS637="","",$AS$5&amp;":"&amp;AS637&amp;";")&amp;IF(AT637="","",$AT$5&amp;":"&amp;AT637&amp;";")&amp;IF(AU637="","",$AU$5&amp;":"&amp;AU637&amp;";")</f>
        <v>DGD:0,19;DSH:0,06;</v>
      </c>
      <c r="M637" s="339"/>
      <c r="N637" s="339"/>
      <c r="O637" s="339"/>
      <c r="P637" s="339"/>
      <c r="Q637" s="339"/>
      <c r="R637" s="339"/>
      <c r="S637" s="339"/>
      <c r="T637" s="339"/>
      <c r="U637" s="339"/>
      <c r="V637" s="339"/>
      <c r="W637" s="339"/>
      <c r="X637" s="339"/>
      <c r="Y637" s="339"/>
      <c r="Z637" s="339"/>
      <c r="AA637" s="339">
        <v>0.19</v>
      </c>
      <c r="AB637" s="339"/>
      <c r="AC637" s="339"/>
      <c r="AD637" s="339"/>
      <c r="AE637" s="339"/>
      <c r="AF637" s="339"/>
      <c r="AG637" s="339"/>
      <c r="AH637" s="339"/>
      <c r="AI637" s="339"/>
      <c r="AJ637" s="339">
        <v>0.06</v>
      </c>
      <c r="AK637" s="339"/>
      <c r="AL637" s="339"/>
      <c r="AM637" s="339"/>
      <c r="AN637" s="339"/>
      <c r="AO637" s="339"/>
      <c r="AP637" s="339"/>
      <c r="AQ637" s="339"/>
      <c r="AR637" s="339"/>
      <c r="AS637" s="339"/>
      <c r="AT637" s="339"/>
      <c r="AU637" s="339"/>
      <c r="AV637" s="338" t="s">
        <v>286</v>
      </c>
      <c r="AW637" s="338" t="s">
        <v>286</v>
      </c>
      <c r="AX637" s="350" t="s">
        <v>935</v>
      </c>
      <c r="AY637" s="356" t="s">
        <v>935</v>
      </c>
      <c r="AZ637" s="208"/>
      <c r="BA637" s="209"/>
      <c r="BB637" s="185"/>
      <c r="BC637" s="195" t="s">
        <v>270</v>
      </c>
      <c r="BD637" s="195"/>
      <c r="BE637" s="195"/>
      <c r="BF637" s="195" t="s">
        <v>263</v>
      </c>
      <c r="BG637" s="195"/>
      <c r="BH637" s="350"/>
    </row>
    <row r="638" spans="1:62" ht="44.25" customHeight="1">
      <c r="A638" s="355">
        <f>SUBTOTAL(3,C$11:$C638)</f>
        <v>446</v>
      </c>
      <c r="B638" s="337" t="s">
        <v>936</v>
      </c>
      <c r="C638" s="338" t="s">
        <v>56</v>
      </c>
      <c r="D638" s="339">
        <v>0.2</v>
      </c>
      <c r="E638" s="339"/>
      <c r="F638" s="339">
        <v>0.2</v>
      </c>
      <c r="G638" s="414">
        <f t="shared" si="90"/>
        <v>0.2</v>
      </c>
      <c r="H638" s="413" t="s">
        <v>48</v>
      </c>
      <c r="I638" s="413" t="s">
        <v>48</v>
      </c>
      <c r="J638" s="413"/>
      <c r="K638" s="413" t="str">
        <f t="shared" si="91"/>
        <v xml:space="preserve">DGD, </v>
      </c>
      <c r="L638" s="413" t="str">
        <f t="shared" si="92"/>
        <v>DGD:0,2;</v>
      </c>
      <c r="M638" s="339"/>
      <c r="N638" s="339"/>
      <c r="O638" s="339"/>
      <c r="P638" s="339"/>
      <c r="Q638" s="339"/>
      <c r="R638" s="339"/>
      <c r="S638" s="339"/>
      <c r="T638" s="339"/>
      <c r="U638" s="339"/>
      <c r="V638" s="339"/>
      <c r="W638" s="339"/>
      <c r="X638" s="339"/>
      <c r="Y638" s="339"/>
      <c r="Z638" s="339"/>
      <c r="AA638" s="339">
        <v>0.2</v>
      </c>
      <c r="AB638" s="339"/>
      <c r="AC638" s="339"/>
      <c r="AD638" s="339"/>
      <c r="AE638" s="339"/>
      <c r="AF638" s="339"/>
      <c r="AG638" s="339"/>
      <c r="AH638" s="339"/>
      <c r="AI638" s="339"/>
      <c r="AJ638" s="339"/>
      <c r="AK638" s="339"/>
      <c r="AL638" s="339"/>
      <c r="AM638" s="339"/>
      <c r="AN638" s="339"/>
      <c r="AO638" s="339"/>
      <c r="AP638" s="339"/>
      <c r="AQ638" s="339"/>
      <c r="AR638" s="339"/>
      <c r="AS638" s="339"/>
      <c r="AT638" s="339"/>
      <c r="AU638" s="339"/>
      <c r="AV638" s="338" t="s">
        <v>309</v>
      </c>
      <c r="AW638" s="338" t="s">
        <v>309</v>
      </c>
      <c r="AX638" s="350" t="s">
        <v>937</v>
      </c>
      <c r="AY638" s="356" t="s">
        <v>937</v>
      </c>
      <c r="AZ638" s="352" t="s">
        <v>1604</v>
      </c>
      <c r="BA638" s="350" t="s">
        <v>938</v>
      </c>
      <c r="BB638" s="350"/>
      <c r="BC638" s="195" t="s">
        <v>270</v>
      </c>
      <c r="BD638" s="195"/>
      <c r="BE638" s="195"/>
      <c r="BF638" s="195"/>
      <c r="BG638" s="195" t="s">
        <v>263</v>
      </c>
      <c r="BH638" s="350"/>
    </row>
    <row r="639" spans="1:62" ht="44.25" customHeight="1">
      <c r="A639" s="355">
        <f>SUBTOTAL(3,C$11:$C639)</f>
        <v>447</v>
      </c>
      <c r="B639" s="337" t="s">
        <v>939</v>
      </c>
      <c r="C639" s="338" t="s">
        <v>56</v>
      </c>
      <c r="D639" s="339">
        <v>2.3E-2</v>
      </c>
      <c r="E639" s="339"/>
      <c r="F639" s="339">
        <v>2.3E-2</v>
      </c>
      <c r="G639" s="414">
        <f t="shared" si="90"/>
        <v>0.02</v>
      </c>
      <c r="H639" s="413" t="s">
        <v>11</v>
      </c>
      <c r="I639" s="413" t="s">
        <v>11</v>
      </c>
      <c r="J639" s="413"/>
      <c r="K639" s="413" t="str">
        <f t="shared" si="91"/>
        <v xml:space="preserve">HNK, </v>
      </c>
      <c r="L639" s="413" t="str">
        <f t="shared" si="92"/>
        <v>HNK:0,02;</v>
      </c>
      <c r="M639" s="339"/>
      <c r="N639" s="339"/>
      <c r="O639" s="339">
        <v>0.02</v>
      </c>
      <c r="P639" s="339"/>
      <c r="Q639" s="339"/>
      <c r="R639" s="339"/>
      <c r="S639" s="339"/>
      <c r="T639" s="339"/>
      <c r="U639" s="339"/>
      <c r="V639" s="339"/>
      <c r="W639" s="339"/>
      <c r="X639" s="339"/>
      <c r="Y639" s="339"/>
      <c r="Z639" s="339"/>
      <c r="AA639" s="339"/>
      <c r="AB639" s="339"/>
      <c r="AC639" s="339"/>
      <c r="AD639" s="339"/>
      <c r="AE639" s="339"/>
      <c r="AF639" s="339"/>
      <c r="AG639" s="339"/>
      <c r="AH639" s="339"/>
      <c r="AI639" s="339"/>
      <c r="AJ639" s="339"/>
      <c r="AK639" s="339"/>
      <c r="AL639" s="339"/>
      <c r="AM639" s="339"/>
      <c r="AN639" s="339"/>
      <c r="AO639" s="339"/>
      <c r="AP639" s="339"/>
      <c r="AQ639" s="339"/>
      <c r="AR639" s="339"/>
      <c r="AS639" s="339"/>
      <c r="AT639" s="339"/>
      <c r="AU639" s="339"/>
      <c r="AV639" s="338" t="s">
        <v>309</v>
      </c>
      <c r="AW639" s="338" t="s">
        <v>309</v>
      </c>
      <c r="AX639" s="350" t="s">
        <v>940</v>
      </c>
      <c r="AY639" s="356" t="s">
        <v>940</v>
      </c>
      <c r="AZ639" s="352" t="s">
        <v>1605</v>
      </c>
      <c r="BA639" s="350"/>
      <c r="BB639" s="350"/>
      <c r="BC639" s="195" t="s">
        <v>270</v>
      </c>
      <c r="BD639" s="195"/>
      <c r="BE639" s="195"/>
      <c r="BF639" s="195" t="s">
        <v>263</v>
      </c>
      <c r="BG639" s="195"/>
      <c r="BH639" s="350"/>
    </row>
    <row r="640" spans="1:62" ht="44.25" customHeight="1">
      <c r="A640" s="355">
        <f>SUBTOTAL(3,C$11:$C640)</f>
        <v>448</v>
      </c>
      <c r="B640" s="337" t="s">
        <v>941</v>
      </c>
      <c r="C640" s="338" t="s">
        <v>56</v>
      </c>
      <c r="D640" s="361">
        <v>0.2</v>
      </c>
      <c r="E640" s="339"/>
      <c r="F640" s="339">
        <v>0.2</v>
      </c>
      <c r="G640" s="414">
        <f t="shared" si="90"/>
        <v>0.2</v>
      </c>
      <c r="H640" s="413" t="s">
        <v>48</v>
      </c>
      <c r="I640" s="413" t="s">
        <v>48</v>
      </c>
      <c r="J640" s="413"/>
      <c r="K640" s="413" t="str">
        <f t="shared" si="91"/>
        <v xml:space="preserve">DGD, </v>
      </c>
      <c r="L640" s="413" t="str">
        <f t="shared" si="92"/>
        <v>DGD:0,2;</v>
      </c>
      <c r="M640" s="339"/>
      <c r="N640" s="339"/>
      <c r="O640" s="339"/>
      <c r="P640" s="339"/>
      <c r="Q640" s="339"/>
      <c r="R640" s="339"/>
      <c r="S640" s="339"/>
      <c r="T640" s="339"/>
      <c r="U640" s="339"/>
      <c r="V640" s="339"/>
      <c r="W640" s="339"/>
      <c r="X640" s="339"/>
      <c r="Y640" s="339"/>
      <c r="Z640" s="339"/>
      <c r="AA640" s="339">
        <v>0.2</v>
      </c>
      <c r="AB640" s="339"/>
      <c r="AC640" s="339"/>
      <c r="AD640" s="339"/>
      <c r="AE640" s="339"/>
      <c r="AF640" s="339"/>
      <c r="AG640" s="339"/>
      <c r="AH640" s="339"/>
      <c r="AI640" s="339"/>
      <c r="AJ640" s="339"/>
      <c r="AK640" s="339"/>
      <c r="AL640" s="339"/>
      <c r="AM640" s="339"/>
      <c r="AN640" s="339"/>
      <c r="AO640" s="339"/>
      <c r="AP640" s="339"/>
      <c r="AQ640" s="339"/>
      <c r="AR640" s="339"/>
      <c r="AS640" s="339"/>
      <c r="AT640" s="339"/>
      <c r="AU640" s="339"/>
      <c r="AV640" s="338" t="s">
        <v>309</v>
      </c>
      <c r="AW640" s="338" t="s">
        <v>309</v>
      </c>
      <c r="AX640" s="350" t="s">
        <v>942</v>
      </c>
      <c r="AY640" s="356" t="s">
        <v>942</v>
      </c>
      <c r="AZ640" s="352" t="s">
        <v>1606</v>
      </c>
      <c r="BA640" s="350" t="s">
        <v>938</v>
      </c>
      <c r="BB640" s="350"/>
      <c r="BC640" s="195" t="s">
        <v>270</v>
      </c>
      <c r="BD640" s="195"/>
      <c r="BE640" s="195"/>
      <c r="BF640" s="195"/>
      <c r="BG640" s="195" t="s">
        <v>263</v>
      </c>
      <c r="BH640" s="350"/>
    </row>
    <row r="641" spans="1:62" ht="44.25" customHeight="1">
      <c r="A641" s="355">
        <f>SUBTOTAL(3,C$11:$C641)</f>
        <v>449</v>
      </c>
      <c r="B641" s="337" t="s">
        <v>943</v>
      </c>
      <c r="C641" s="338" t="s">
        <v>56</v>
      </c>
      <c r="D641" s="361">
        <v>3.5000000000000003E-2</v>
      </c>
      <c r="E641" s="339"/>
      <c r="F641" s="339">
        <v>3.5000000000000003E-2</v>
      </c>
      <c r="G641" s="414">
        <f t="shared" si="90"/>
        <v>0.04</v>
      </c>
      <c r="H641" s="413" t="s">
        <v>48</v>
      </c>
      <c r="I641" s="413" t="s">
        <v>48</v>
      </c>
      <c r="J641" s="413"/>
      <c r="K641" s="413" t="str">
        <f t="shared" si="91"/>
        <v xml:space="preserve">DGD, </v>
      </c>
      <c r="L641" s="413" t="str">
        <f t="shared" si="92"/>
        <v>DGD:0,04;</v>
      </c>
      <c r="M641" s="339"/>
      <c r="N641" s="339"/>
      <c r="O641" s="339"/>
      <c r="P641" s="339"/>
      <c r="Q641" s="339"/>
      <c r="R641" s="339"/>
      <c r="S641" s="339"/>
      <c r="T641" s="339"/>
      <c r="U641" s="339"/>
      <c r="V641" s="339"/>
      <c r="W641" s="339"/>
      <c r="X641" s="339"/>
      <c r="Y641" s="339"/>
      <c r="Z641" s="339"/>
      <c r="AA641" s="339">
        <v>0.04</v>
      </c>
      <c r="AB641" s="339"/>
      <c r="AC641" s="339"/>
      <c r="AD641" s="339"/>
      <c r="AE641" s="339"/>
      <c r="AF641" s="339"/>
      <c r="AG641" s="339"/>
      <c r="AH641" s="339"/>
      <c r="AI641" s="339"/>
      <c r="AJ641" s="339"/>
      <c r="AK641" s="339"/>
      <c r="AL641" s="339"/>
      <c r="AM641" s="339"/>
      <c r="AN641" s="339"/>
      <c r="AO641" s="339"/>
      <c r="AP641" s="339"/>
      <c r="AQ641" s="339"/>
      <c r="AR641" s="339"/>
      <c r="AS641" s="339"/>
      <c r="AT641" s="339"/>
      <c r="AU641" s="339"/>
      <c r="AV641" s="338" t="s">
        <v>309</v>
      </c>
      <c r="AW641" s="338" t="s">
        <v>309</v>
      </c>
      <c r="AX641" s="350" t="s">
        <v>944</v>
      </c>
      <c r="AY641" s="356" t="s">
        <v>944</v>
      </c>
      <c r="AZ641" s="352" t="s">
        <v>1607</v>
      </c>
      <c r="BA641" s="350"/>
      <c r="BB641" s="350"/>
      <c r="BC641" s="195" t="s">
        <v>270</v>
      </c>
      <c r="BD641" s="195"/>
      <c r="BE641" s="195"/>
      <c r="BF641" s="195" t="s">
        <v>263</v>
      </c>
      <c r="BG641" s="195"/>
      <c r="BH641" s="350"/>
    </row>
    <row r="642" spans="1:62" ht="44.25" customHeight="1">
      <c r="A642" s="355">
        <f>SUBTOTAL(3,C$11:$C642)</f>
        <v>450</v>
      </c>
      <c r="B642" s="337" t="s">
        <v>945</v>
      </c>
      <c r="C642" s="338" t="s">
        <v>56</v>
      </c>
      <c r="D642" s="361">
        <v>3.78E-2</v>
      </c>
      <c r="E642" s="339"/>
      <c r="F642" s="339">
        <v>3.78E-2</v>
      </c>
      <c r="G642" s="414">
        <f t="shared" si="90"/>
        <v>0.04</v>
      </c>
      <c r="H642" s="413" t="s">
        <v>48</v>
      </c>
      <c r="I642" s="413" t="s">
        <v>48</v>
      </c>
      <c r="J642" s="413"/>
      <c r="K642" s="413" t="str">
        <f t="shared" si="91"/>
        <v xml:space="preserve">DGD, </v>
      </c>
      <c r="L642" s="413" t="str">
        <f t="shared" si="92"/>
        <v>DGD:0,04;</v>
      </c>
      <c r="M642" s="339"/>
      <c r="N642" s="339"/>
      <c r="O642" s="339"/>
      <c r="P642" s="339"/>
      <c r="Q642" s="339"/>
      <c r="R642" s="339"/>
      <c r="S642" s="339"/>
      <c r="T642" s="339"/>
      <c r="U642" s="339"/>
      <c r="V642" s="339"/>
      <c r="W642" s="339"/>
      <c r="X642" s="339"/>
      <c r="Y642" s="339"/>
      <c r="Z642" s="339"/>
      <c r="AA642" s="339">
        <v>0.04</v>
      </c>
      <c r="AB642" s="339"/>
      <c r="AC642" s="339"/>
      <c r="AD642" s="339"/>
      <c r="AE642" s="339"/>
      <c r="AF642" s="339"/>
      <c r="AG642" s="339"/>
      <c r="AH642" s="339"/>
      <c r="AI642" s="339"/>
      <c r="AJ642" s="339"/>
      <c r="AK642" s="339"/>
      <c r="AL642" s="339"/>
      <c r="AM642" s="339"/>
      <c r="AN642" s="339"/>
      <c r="AO642" s="339"/>
      <c r="AP642" s="339"/>
      <c r="AQ642" s="339"/>
      <c r="AR642" s="339"/>
      <c r="AS642" s="339"/>
      <c r="AT642" s="339"/>
      <c r="AU642" s="339"/>
      <c r="AV642" s="338" t="s">
        <v>309</v>
      </c>
      <c r="AW642" s="338" t="s">
        <v>309</v>
      </c>
      <c r="AX642" s="350" t="s">
        <v>946</v>
      </c>
      <c r="AY642" s="356" t="s">
        <v>946</v>
      </c>
      <c r="AZ642" s="352" t="s">
        <v>1608</v>
      </c>
      <c r="BA642" s="350"/>
      <c r="BB642" s="350"/>
      <c r="BC642" s="195" t="s">
        <v>270</v>
      </c>
      <c r="BD642" s="195"/>
      <c r="BE642" s="195"/>
      <c r="BF642" s="195" t="s">
        <v>263</v>
      </c>
      <c r="BG642" s="195"/>
      <c r="BH642" s="350"/>
    </row>
    <row r="643" spans="1:62" ht="44.25" customHeight="1">
      <c r="A643" s="355">
        <f>SUBTOTAL(3,C$11:$C643)</f>
        <v>451</v>
      </c>
      <c r="B643" s="337" t="s">
        <v>947</v>
      </c>
      <c r="C643" s="338" t="s">
        <v>56</v>
      </c>
      <c r="D643" s="361">
        <v>0.02</v>
      </c>
      <c r="E643" s="339"/>
      <c r="F643" s="339">
        <v>0.02</v>
      </c>
      <c r="G643" s="414">
        <f t="shared" si="90"/>
        <v>0.02</v>
      </c>
      <c r="H643" s="413" t="s">
        <v>48</v>
      </c>
      <c r="I643" s="413" t="s">
        <v>48</v>
      </c>
      <c r="J643" s="413"/>
      <c r="K643" s="413" t="str">
        <f t="shared" si="91"/>
        <v xml:space="preserve">DGD, </v>
      </c>
      <c r="L643" s="413" t="str">
        <f t="shared" si="92"/>
        <v>DGD:0,02;</v>
      </c>
      <c r="M643" s="339"/>
      <c r="N643" s="339"/>
      <c r="O643" s="339"/>
      <c r="P643" s="339"/>
      <c r="Q643" s="339"/>
      <c r="R643" s="339"/>
      <c r="S643" s="339"/>
      <c r="T643" s="339"/>
      <c r="U643" s="339"/>
      <c r="V643" s="339"/>
      <c r="W643" s="339"/>
      <c r="X643" s="339"/>
      <c r="Y643" s="339"/>
      <c r="Z643" s="339"/>
      <c r="AA643" s="339">
        <v>0.02</v>
      </c>
      <c r="AB643" s="339"/>
      <c r="AC643" s="339"/>
      <c r="AD643" s="339"/>
      <c r="AE643" s="339"/>
      <c r="AF643" s="339"/>
      <c r="AG643" s="339"/>
      <c r="AH643" s="339"/>
      <c r="AI643" s="339"/>
      <c r="AJ643" s="339"/>
      <c r="AK643" s="339"/>
      <c r="AL643" s="339"/>
      <c r="AM643" s="339"/>
      <c r="AN643" s="339"/>
      <c r="AO643" s="339"/>
      <c r="AP643" s="339"/>
      <c r="AQ643" s="339"/>
      <c r="AR643" s="339"/>
      <c r="AS643" s="339"/>
      <c r="AT643" s="339"/>
      <c r="AU643" s="339"/>
      <c r="AV643" s="338" t="s">
        <v>309</v>
      </c>
      <c r="AW643" s="338" t="s">
        <v>309</v>
      </c>
      <c r="AX643" s="350" t="s">
        <v>948</v>
      </c>
      <c r="AY643" s="356" t="s">
        <v>948</v>
      </c>
      <c r="AZ643" s="352" t="s">
        <v>1609</v>
      </c>
      <c r="BA643" s="350"/>
      <c r="BB643" s="350"/>
      <c r="BC643" s="195" t="s">
        <v>270</v>
      </c>
      <c r="BD643" s="195"/>
      <c r="BE643" s="195"/>
      <c r="BF643" s="195" t="s">
        <v>263</v>
      </c>
      <c r="BG643" s="195"/>
      <c r="BH643" s="350"/>
    </row>
    <row r="644" spans="1:62" ht="44.25" customHeight="1">
      <c r="A644" s="355">
        <f>SUBTOTAL(3,C$11:$C644)</f>
        <v>452</v>
      </c>
      <c r="B644" s="337" t="s">
        <v>949</v>
      </c>
      <c r="C644" s="338" t="s">
        <v>56</v>
      </c>
      <c r="D644" s="361">
        <v>0.03</v>
      </c>
      <c r="E644" s="339"/>
      <c r="F644" s="339">
        <v>0.03</v>
      </c>
      <c r="G644" s="414">
        <f t="shared" si="90"/>
        <v>0.03</v>
      </c>
      <c r="H644" s="413" t="s">
        <v>48</v>
      </c>
      <c r="I644" s="413" t="s">
        <v>48</v>
      </c>
      <c r="J644" s="413"/>
      <c r="K644" s="413" t="str">
        <f t="shared" si="91"/>
        <v xml:space="preserve">DGD, </v>
      </c>
      <c r="L644" s="413" t="str">
        <f t="shared" si="92"/>
        <v>DGD:0,03;</v>
      </c>
      <c r="M644" s="339"/>
      <c r="N644" s="339"/>
      <c r="O644" s="339"/>
      <c r="P644" s="339"/>
      <c r="Q644" s="339"/>
      <c r="R644" s="339"/>
      <c r="S644" s="339"/>
      <c r="T644" s="339"/>
      <c r="U644" s="339"/>
      <c r="V644" s="339"/>
      <c r="W644" s="339"/>
      <c r="X644" s="339"/>
      <c r="Y644" s="339"/>
      <c r="Z644" s="339"/>
      <c r="AA644" s="339">
        <v>0.03</v>
      </c>
      <c r="AB644" s="339"/>
      <c r="AC644" s="339"/>
      <c r="AD644" s="339"/>
      <c r="AE644" s="339"/>
      <c r="AF644" s="339"/>
      <c r="AG644" s="339"/>
      <c r="AH644" s="339"/>
      <c r="AI644" s="339"/>
      <c r="AJ644" s="339"/>
      <c r="AK644" s="339"/>
      <c r="AL644" s="339"/>
      <c r="AM644" s="339"/>
      <c r="AN644" s="339"/>
      <c r="AO644" s="339"/>
      <c r="AP644" s="339"/>
      <c r="AQ644" s="339"/>
      <c r="AR644" s="339"/>
      <c r="AS644" s="339"/>
      <c r="AT644" s="339"/>
      <c r="AU644" s="339"/>
      <c r="AV644" s="338" t="s">
        <v>309</v>
      </c>
      <c r="AW644" s="338" t="s">
        <v>309</v>
      </c>
      <c r="AX644" s="350" t="s">
        <v>950</v>
      </c>
      <c r="AY644" s="356" t="s">
        <v>950</v>
      </c>
      <c r="AZ644" s="352" t="s">
        <v>1610</v>
      </c>
      <c r="BA644" s="350"/>
      <c r="BB644" s="350"/>
      <c r="BC644" s="195" t="s">
        <v>270</v>
      </c>
      <c r="BD644" s="195"/>
      <c r="BE644" s="195"/>
      <c r="BF644" s="195" t="s">
        <v>263</v>
      </c>
      <c r="BG644" s="195"/>
      <c r="BH644" s="350"/>
    </row>
    <row r="645" spans="1:62" ht="44.25" customHeight="1">
      <c r="A645" s="355">
        <f>SUBTOTAL(3,C$11:$C645)</f>
        <v>453</v>
      </c>
      <c r="B645" s="337" t="s">
        <v>951</v>
      </c>
      <c r="C645" s="338" t="s">
        <v>56</v>
      </c>
      <c r="D645" s="361">
        <v>0.25</v>
      </c>
      <c r="E645" s="339"/>
      <c r="F645" s="339">
        <v>0.25</v>
      </c>
      <c r="G645" s="414">
        <f t="shared" si="90"/>
        <v>0.25</v>
      </c>
      <c r="H645" s="413" t="s">
        <v>1611</v>
      </c>
      <c r="I645" s="413" t="s">
        <v>1611</v>
      </c>
      <c r="J645" s="413"/>
      <c r="K645" s="413" t="str">
        <f t="shared" si="91"/>
        <v xml:space="preserve">HNK, NTD, </v>
      </c>
      <c r="L645" s="413" t="str">
        <f t="shared" si="92"/>
        <v>HNK:0,16;NTD:0,09;</v>
      </c>
      <c r="M645" s="339"/>
      <c r="N645" s="339"/>
      <c r="O645" s="339">
        <v>0.16</v>
      </c>
      <c r="P645" s="339"/>
      <c r="Q645" s="339"/>
      <c r="R645" s="339"/>
      <c r="S645" s="339"/>
      <c r="T645" s="339"/>
      <c r="U645" s="339"/>
      <c r="V645" s="339"/>
      <c r="W645" s="339"/>
      <c r="X645" s="339"/>
      <c r="Y645" s="339"/>
      <c r="Z645" s="339"/>
      <c r="AA645" s="339"/>
      <c r="AB645" s="339"/>
      <c r="AC645" s="339"/>
      <c r="AD645" s="339"/>
      <c r="AE645" s="339"/>
      <c r="AF645" s="339"/>
      <c r="AG645" s="339"/>
      <c r="AH645" s="339">
        <v>0.09</v>
      </c>
      <c r="AI645" s="339"/>
      <c r="AJ645" s="339"/>
      <c r="AK645" s="339"/>
      <c r="AL645" s="339"/>
      <c r="AM645" s="339"/>
      <c r="AN645" s="339"/>
      <c r="AO645" s="339"/>
      <c r="AP645" s="339"/>
      <c r="AQ645" s="339"/>
      <c r="AR645" s="339"/>
      <c r="AS645" s="339"/>
      <c r="AT645" s="339"/>
      <c r="AU645" s="339"/>
      <c r="AV645" s="338" t="s">
        <v>309</v>
      </c>
      <c r="AW645" s="338" t="s">
        <v>309</v>
      </c>
      <c r="AX645" s="350" t="s">
        <v>952</v>
      </c>
      <c r="AY645" s="356" t="s">
        <v>952</v>
      </c>
      <c r="AZ645" s="352" t="s">
        <v>1612</v>
      </c>
      <c r="BA645" s="350"/>
      <c r="BB645" s="350"/>
      <c r="BC645" s="195" t="s">
        <v>270</v>
      </c>
      <c r="BD645" s="195"/>
      <c r="BE645" s="195"/>
      <c r="BF645" s="195" t="s">
        <v>263</v>
      </c>
      <c r="BG645" s="195"/>
      <c r="BH645" s="350"/>
    </row>
    <row r="646" spans="1:62" ht="44.25" customHeight="1">
      <c r="A646" s="355">
        <f>SUBTOTAL(3,C$11:$C646)</f>
        <v>454</v>
      </c>
      <c r="B646" s="337" t="s">
        <v>953</v>
      </c>
      <c r="C646" s="338" t="s">
        <v>56</v>
      </c>
      <c r="D646" s="339">
        <v>0.12</v>
      </c>
      <c r="E646" s="339"/>
      <c r="F646" s="339">
        <v>0.12</v>
      </c>
      <c r="G646" s="414">
        <f t="shared" si="90"/>
        <v>0.12</v>
      </c>
      <c r="H646" s="413" t="s">
        <v>48</v>
      </c>
      <c r="I646" s="413" t="s">
        <v>48</v>
      </c>
      <c r="J646" s="413"/>
      <c r="K646" s="413" t="str">
        <f t="shared" si="91"/>
        <v xml:space="preserve">DGD, </v>
      </c>
      <c r="L646" s="413" t="str">
        <f t="shared" si="92"/>
        <v>DGD:0,12;</v>
      </c>
      <c r="M646" s="339"/>
      <c r="N646" s="339"/>
      <c r="O646" s="339"/>
      <c r="P646" s="339"/>
      <c r="Q646" s="339"/>
      <c r="R646" s="339"/>
      <c r="S646" s="339"/>
      <c r="T646" s="339"/>
      <c r="U646" s="339"/>
      <c r="V646" s="339"/>
      <c r="W646" s="339"/>
      <c r="X646" s="339"/>
      <c r="Y646" s="339"/>
      <c r="Z646" s="339"/>
      <c r="AA646" s="339">
        <v>0.12</v>
      </c>
      <c r="AB646" s="339"/>
      <c r="AC646" s="339"/>
      <c r="AD646" s="339"/>
      <c r="AE646" s="339"/>
      <c r="AF646" s="339"/>
      <c r="AG646" s="339"/>
      <c r="AH646" s="339"/>
      <c r="AI646" s="339"/>
      <c r="AJ646" s="339"/>
      <c r="AK646" s="339"/>
      <c r="AL646" s="339"/>
      <c r="AM646" s="339"/>
      <c r="AN646" s="339"/>
      <c r="AO646" s="339"/>
      <c r="AP646" s="339"/>
      <c r="AQ646" s="339"/>
      <c r="AR646" s="339"/>
      <c r="AS646" s="339"/>
      <c r="AT646" s="339"/>
      <c r="AU646" s="339"/>
      <c r="AV646" s="338" t="s">
        <v>280</v>
      </c>
      <c r="AW646" s="338" t="s">
        <v>280</v>
      </c>
      <c r="AX646" s="350" t="s">
        <v>954</v>
      </c>
      <c r="AY646" s="356" t="s">
        <v>954</v>
      </c>
      <c r="AZ646" s="352" t="s">
        <v>1613</v>
      </c>
      <c r="BA646" s="350"/>
      <c r="BB646" s="350"/>
      <c r="BC646" s="195" t="s">
        <v>270</v>
      </c>
      <c r="BD646" s="195"/>
      <c r="BE646" s="195"/>
      <c r="BF646" s="195" t="s">
        <v>263</v>
      </c>
      <c r="BG646" s="195"/>
      <c r="BH646" s="350"/>
    </row>
    <row r="647" spans="1:62" ht="44.25" customHeight="1">
      <c r="A647" s="355">
        <f>SUBTOTAL(3,C$11:$C647)</f>
        <v>455</v>
      </c>
      <c r="B647" s="337" t="s">
        <v>955</v>
      </c>
      <c r="C647" s="338" t="s">
        <v>56</v>
      </c>
      <c r="D647" s="339">
        <v>0.9</v>
      </c>
      <c r="E647" s="339"/>
      <c r="F647" s="339">
        <v>0.9</v>
      </c>
      <c r="G647" s="414">
        <f t="shared" si="90"/>
        <v>0.9</v>
      </c>
      <c r="H647" s="413" t="s">
        <v>1614</v>
      </c>
      <c r="I647" s="413" t="s">
        <v>1615</v>
      </c>
      <c r="J647" s="413"/>
      <c r="K647" s="413" t="str">
        <f t="shared" si="91"/>
        <v xml:space="preserve">LUC, DTT, </v>
      </c>
      <c r="L647" s="413" t="str">
        <f t="shared" si="92"/>
        <v>LUC:0,03;DTT:0,87;</v>
      </c>
      <c r="M647" s="339">
        <v>0.03</v>
      </c>
      <c r="N647" s="339"/>
      <c r="O647" s="339"/>
      <c r="P647" s="339"/>
      <c r="Q647" s="339"/>
      <c r="R647" s="339"/>
      <c r="S647" s="339"/>
      <c r="T647" s="339"/>
      <c r="U647" s="339"/>
      <c r="V647" s="339"/>
      <c r="W647" s="339"/>
      <c r="X647" s="339"/>
      <c r="Y647" s="339"/>
      <c r="Z647" s="339"/>
      <c r="AA647" s="339"/>
      <c r="AB647" s="339">
        <v>0.87</v>
      </c>
      <c r="AC647" s="339"/>
      <c r="AD647" s="339"/>
      <c r="AE647" s="339"/>
      <c r="AF647" s="339"/>
      <c r="AG647" s="339"/>
      <c r="AH647" s="339"/>
      <c r="AI647" s="339"/>
      <c r="AJ647" s="339"/>
      <c r="AK647" s="339"/>
      <c r="AL647" s="339"/>
      <c r="AM647" s="339"/>
      <c r="AN647" s="339"/>
      <c r="AO647" s="339"/>
      <c r="AP647" s="339"/>
      <c r="AQ647" s="339"/>
      <c r="AR647" s="339"/>
      <c r="AS647" s="339"/>
      <c r="AT647" s="339"/>
      <c r="AU647" s="339"/>
      <c r="AV647" s="338" t="s">
        <v>280</v>
      </c>
      <c r="AW647" s="338" t="s">
        <v>280</v>
      </c>
      <c r="AX647" s="350" t="s">
        <v>956</v>
      </c>
      <c r="AY647" s="356" t="s">
        <v>956</v>
      </c>
      <c r="AZ647" s="352" t="s">
        <v>1616</v>
      </c>
      <c r="BA647" s="350"/>
      <c r="BB647" s="350"/>
      <c r="BC647" s="195" t="s">
        <v>270</v>
      </c>
      <c r="BD647" s="195"/>
      <c r="BE647" s="195"/>
      <c r="BF647" s="195" t="s">
        <v>263</v>
      </c>
      <c r="BG647" s="195"/>
      <c r="BH647" s="350"/>
    </row>
    <row r="648" spans="1:62" ht="44.25" customHeight="1">
      <c r="A648" s="355">
        <f>SUBTOTAL(3,C$11:$C648)</f>
        <v>456</v>
      </c>
      <c r="B648" s="337" t="s">
        <v>957</v>
      </c>
      <c r="C648" s="338" t="s">
        <v>56</v>
      </c>
      <c r="D648" s="339">
        <v>5.6000000000000001E-2</v>
      </c>
      <c r="E648" s="339"/>
      <c r="F648" s="339">
        <v>5.6000000000000001E-2</v>
      </c>
      <c r="G648" s="414">
        <f t="shared" si="90"/>
        <v>0.06</v>
      </c>
      <c r="H648" s="413" t="s">
        <v>11</v>
      </c>
      <c r="I648" s="413" t="s">
        <v>11</v>
      </c>
      <c r="J648" s="413"/>
      <c r="K648" s="413" t="str">
        <f t="shared" si="91"/>
        <v xml:space="preserve">HNK, </v>
      </c>
      <c r="L648" s="413" t="str">
        <f t="shared" si="92"/>
        <v>HNK:0,06;</v>
      </c>
      <c r="M648" s="339"/>
      <c r="N648" s="339"/>
      <c r="O648" s="339">
        <v>0.06</v>
      </c>
      <c r="P648" s="339"/>
      <c r="Q648" s="339"/>
      <c r="R648" s="339"/>
      <c r="S648" s="339"/>
      <c r="T648" s="339"/>
      <c r="U648" s="339"/>
      <c r="V648" s="339"/>
      <c r="W648" s="339"/>
      <c r="X648" s="339"/>
      <c r="Y648" s="339"/>
      <c r="Z648" s="339"/>
      <c r="AA648" s="339"/>
      <c r="AB648" s="339"/>
      <c r="AC648" s="339"/>
      <c r="AD648" s="339"/>
      <c r="AE648" s="339"/>
      <c r="AF648" s="339"/>
      <c r="AG648" s="339"/>
      <c r="AH648" s="339"/>
      <c r="AI648" s="339"/>
      <c r="AJ648" s="339"/>
      <c r="AK648" s="339"/>
      <c r="AL648" s="339"/>
      <c r="AM648" s="339"/>
      <c r="AN648" s="339"/>
      <c r="AO648" s="339"/>
      <c r="AP648" s="339"/>
      <c r="AQ648" s="339"/>
      <c r="AR648" s="339"/>
      <c r="AS648" s="339"/>
      <c r="AT648" s="339"/>
      <c r="AU648" s="339"/>
      <c r="AV648" s="338" t="s">
        <v>283</v>
      </c>
      <c r="AW648" s="338" t="s">
        <v>283</v>
      </c>
      <c r="AX648" s="350" t="s">
        <v>958</v>
      </c>
      <c r="AY648" s="356" t="s">
        <v>958</v>
      </c>
      <c r="AZ648" s="352" t="s">
        <v>1617</v>
      </c>
      <c r="BA648" s="350"/>
      <c r="BB648" s="350"/>
      <c r="BC648" s="195" t="s">
        <v>270</v>
      </c>
      <c r="BD648" s="195"/>
      <c r="BE648" s="195"/>
      <c r="BF648" s="195" t="s">
        <v>263</v>
      </c>
      <c r="BG648" s="195"/>
      <c r="BH648" s="350"/>
    </row>
    <row r="649" spans="1:62" ht="44.25" customHeight="1">
      <c r="A649" s="355">
        <f>SUBTOTAL(3,C$11:$C649)</f>
        <v>457</v>
      </c>
      <c r="B649" s="337" t="s">
        <v>959</v>
      </c>
      <c r="C649" s="338" t="s">
        <v>56</v>
      </c>
      <c r="D649" s="361">
        <v>0.02</v>
      </c>
      <c r="E649" s="147"/>
      <c r="F649" s="339">
        <v>0.02</v>
      </c>
      <c r="G649" s="414">
        <f t="shared" si="90"/>
        <v>0.02</v>
      </c>
      <c r="H649" s="413" t="s">
        <v>11</v>
      </c>
      <c r="I649" s="413" t="s">
        <v>11</v>
      </c>
      <c r="J649" s="413"/>
      <c r="K649" s="413" t="str">
        <f t="shared" si="91"/>
        <v xml:space="preserve">HNK, </v>
      </c>
      <c r="L649" s="413" t="str">
        <f t="shared" si="92"/>
        <v>HNK:0,02;</v>
      </c>
      <c r="M649" s="339"/>
      <c r="N649" s="339"/>
      <c r="O649" s="339">
        <v>0.02</v>
      </c>
      <c r="P649" s="339"/>
      <c r="Q649" s="339"/>
      <c r="R649" s="339"/>
      <c r="S649" s="339"/>
      <c r="T649" s="339"/>
      <c r="U649" s="339"/>
      <c r="V649" s="339"/>
      <c r="W649" s="339"/>
      <c r="X649" s="339"/>
      <c r="Y649" s="339"/>
      <c r="Z649" s="339"/>
      <c r="AA649" s="339"/>
      <c r="AB649" s="339"/>
      <c r="AC649" s="339"/>
      <c r="AD649" s="339"/>
      <c r="AE649" s="339"/>
      <c r="AF649" s="339"/>
      <c r="AG649" s="339"/>
      <c r="AH649" s="339"/>
      <c r="AI649" s="339"/>
      <c r="AJ649" s="339"/>
      <c r="AK649" s="339"/>
      <c r="AL649" s="339"/>
      <c r="AM649" s="339"/>
      <c r="AN649" s="339"/>
      <c r="AO649" s="339"/>
      <c r="AP649" s="339"/>
      <c r="AQ649" s="339"/>
      <c r="AR649" s="339"/>
      <c r="AS649" s="339"/>
      <c r="AT649" s="339"/>
      <c r="AU649" s="339"/>
      <c r="AV649" s="338" t="s">
        <v>283</v>
      </c>
      <c r="AW649" s="338" t="s">
        <v>283</v>
      </c>
      <c r="AX649" s="350" t="s">
        <v>960</v>
      </c>
      <c r="AY649" s="356" t="s">
        <v>960</v>
      </c>
      <c r="AZ649" s="352" t="s">
        <v>1618</v>
      </c>
      <c r="BA649" s="350"/>
      <c r="BB649" s="350"/>
      <c r="BC649" s="195" t="s">
        <v>270</v>
      </c>
      <c r="BD649" s="195"/>
      <c r="BE649" s="195"/>
      <c r="BF649" s="195" t="s">
        <v>263</v>
      </c>
      <c r="BG649" s="195"/>
      <c r="BH649" s="350"/>
    </row>
    <row r="650" spans="1:62" ht="44.25" customHeight="1">
      <c r="A650" s="355">
        <f>SUBTOTAL(3,C$11:$C650)</f>
        <v>458</v>
      </c>
      <c r="B650" s="201" t="s">
        <v>961</v>
      </c>
      <c r="C650" s="338" t="s">
        <v>56</v>
      </c>
      <c r="D650" s="210">
        <v>0.05</v>
      </c>
      <c r="E650" s="339"/>
      <c r="F650" s="210">
        <v>0.05</v>
      </c>
      <c r="G650" s="414">
        <f t="shared" si="90"/>
        <v>0.05</v>
      </c>
      <c r="H650" s="413" t="s">
        <v>24</v>
      </c>
      <c r="I650" s="413" t="s">
        <v>24</v>
      </c>
      <c r="J650" s="413"/>
      <c r="K650" s="413" t="str">
        <f t="shared" si="91"/>
        <v xml:space="preserve">TSC, </v>
      </c>
      <c r="L650" s="413" t="str">
        <f t="shared" si="92"/>
        <v>TSC:0,05;</v>
      </c>
      <c r="M650" s="210"/>
      <c r="N650" s="210"/>
      <c r="O650" s="210"/>
      <c r="P650" s="210"/>
      <c r="Q650" s="210"/>
      <c r="R650" s="210"/>
      <c r="S650" s="210"/>
      <c r="T650" s="210"/>
      <c r="U650" s="210"/>
      <c r="V650" s="210"/>
      <c r="W650" s="210"/>
      <c r="X650" s="210"/>
      <c r="Y650" s="210"/>
      <c r="Z650" s="210"/>
      <c r="AA650" s="210"/>
      <c r="AB650" s="210"/>
      <c r="AC650" s="210"/>
      <c r="AD650" s="210"/>
      <c r="AE650" s="210"/>
      <c r="AF650" s="210"/>
      <c r="AG650" s="210"/>
      <c r="AH650" s="210"/>
      <c r="AI650" s="210"/>
      <c r="AJ650" s="210"/>
      <c r="AK650" s="210"/>
      <c r="AL650" s="210"/>
      <c r="AM650" s="210"/>
      <c r="AN650" s="210">
        <v>0.05</v>
      </c>
      <c r="AO650" s="210"/>
      <c r="AP650" s="210"/>
      <c r="AQ650" s="210"/>
      <c r="AR650" s="210"/>
      <c r="AS650" s="210"/>
      <c r="AT650" s="210"/>
      <c r="AU650" s="210"/>
      <c r="AV650" s="338" t="s">
        <v>283</v>
      </c>
      <c r="AW650" s="338" t="s">
        <v>283</v>
      </c>
      <c r="AX650" s="350" t="s">
        <v>962</v>
      </c>
      <c r="AY650" s="356" t="s">
        <v>962</v>
      </c>
      <c r="AZ650" s="352" t="s">
        <v>1619</v>
      </c>
      <c r="BA650" s="350"/>
      <c r="BB650" s="350"/>
      <c r="BC650" s="195" t="s">
        <v>270</v>
      </c>
      <c r="BD650" s="195"/>
      <c r="BE650" s="195"/>
      <c r="BF650" s="195" t="s">
        <v>263</v>
      </c>
      <c r="BG650" s="195"/>
      <c r="BH650" s="350"/>
    </row>
    <row r="651" spans="1:62" s="248" customFormat="1" ht="44.25" customHeight="1">
      <c r="A651" s="355">
        <f>SUBTOTAL(3,C$11:$C651)</f>
        <v>459</v>
      </c>
      <c r="B651" s="253" t="s">
        <v>1705</v>
      </c>
      <c r="C651" s="252" t="s">
        <v>56</v>
      </c>
      <c r="D651" s="251">
        <v>1.3483000000000001</v>
      </c>
      <c r="E651" s="361"/>
      <c r="F651" s="251">
        <v>1.3483000000000001</v>
      </c>
      <c r="G651" s="547">
        <f>SUM(K651:AP651)</f>
        <v>1.35</v>
      </c>
      <c r="H651" s="413" t="str">
        <f>LEFT(I651,LEN(I651)-2)</f>
        <v>SKC, TSC</v>
      </c>
      <c r="I651" s="413" t="str">
        <f>IF(K651&lt;&gt;0,'[2]10 CH'!$K$5&amp;", ","")&amp;IF(L651&lt;&gt;0,'[2]10 CH'!$L$5&amp;", ","")&amp;IF(M651&lt;&gt;0,'[2]10 CH'!M$5&amp;", ","")&amp;IF(N651&lt;&gt;0,'[2]10 CH'!N$5&amp;", ","")&amp;IF(O651&lt;&gt;0,'[2]10 CH'!O$5&amp;", ","")&amp;IF(P651&lt;&gt;0,'[2]10 CH'!P$5&amp;", ","")&amp;IF(Q651&lt;&gt;0,'[2]10 CH'!Q$5&amp;", ","")&amp;IF(R651&lt;&gt;0,'[2]10 CH'!R$5&amp;", ","")&amp;IF(S651&lt;&gt;0,'[2]10 CH'!S$5&amp;", ","")&amp;IF(T651&lt;&gt;0,'[2]10 CH'!T$5&amp;", ","")&amp;IF(U651&lt;&gt;0,'[2]10 CH'!U$5&amp;", ","")&amp;IF(V651&lt;&gt;0,'[2]10 CH'!V$5&amp;", ","")&amp;IF(W651&lt;&gt;0,'[2]10 CH'!W$5&amp;", ","")&amp;IF(X651&lt;&gt;0,'[2]10 CH'!X$5&amp;", ","")&amp;IF(Y651&lt;&gt;0,'[2]10 CH'!Y$5&amp;", ","")&amp;IF(Z651&lt;&gt;0,'[2]10 CH'!Z$5&amp;", ","")&amp;IF(AA651&lt;&gt;0,'[2]10 CH'!AA$5&amp;", ","")&amp;IF(AB651&lt;&gt;0,'[2]10 CH'!AB$5&amp;", ","")&amp;IF(AC651&lt;&gt;0,'[2]10 CH'!AC$5&amp;", ","")&amp;IF(AD651&lt;&gt;0,'[2]10 CH'!AD$5&amp;", ","")&amp;IF(AE651&lt;&gt;0,'[2]10 CH'!AE$5&amp;", ","")&amp;IF(AF651&lt;&gt;0,'[2]10 CH'!AF$5&amp;", ","")&amp;IF(AG651&lt;&gt;0,'[2]10 CH'!AG$5&amp;", ","")&amp;IF(AH651&lt;&gt;0,'[2]10 CH'!AH$5&amp;", ","")&amp;IF(AI651&lt;&gt;0,'[2]10 CH'!AI$5&amp;", ","")&amp;IF(AJ651&lt;&gt;0,'[2]10 CH'!AJ$5&amp;", ","")&amp;IF(AK651&lt;&gt;0,'[2]10 CH'!AK$5&amp;", ","")&amp;IF(AL651&lt;&gt;0,'[2]10 CH'!AL$5&amp;", ","")&amp;IF(AM651&lt;&gt;0,'[2]10 CH'!AM$5&amp;", ","")&amp;IF(AN651&lt;&gt;0,'[2]10 CH'!AN$5&amp;", ","")&amp;IF(AO651&lt;&gt;0,'[2]10 CH'!AO$5&amp;", ","")&amp;IF(AP651&lt;&gt;0,'[2]10 CH'!AP$5,"")&amp;IF(AQ651&lt;&gt;0,'[2]10 CH'!AQ$5,"")&amp;IF(AR651&lt;&gt;0,'[2]10 CH'!AR$5,"")&amp;IF(AS651&lt;&gt;0,'[2]10 CH'!AS$5,"")</f>
        <v xml:space="preserve">SKC, TSC, </v>
      </c>
      <c r="J651" s="413" t="str">
        <f>IF(K651="","",'[2]10 CH'!$K$5&amp;":"&amp;K651&amp;";")&amp;IF(L651="","",'[2]10 CH'!$L$5&amp;":"&amp;L651&amp;";")&amp;IF(M651="","",'[2]10 CH'!$M$5&amp;":"&amp;M651&amp;";")&amp;IF(N651="","",'[2]10 CH'!$N$5&amp;":"&amp;N651&amp;";")&amp;IF(O651="","",'[2]10 CH'!$O$5&amp;":"&amp;O651&amp;";")&amp;IF(P651="","",'[2]10 CH'!$P$5&amp;":"&amp;P651&amp;";")&amp;IF(Q651="","",'[2]10 CH'!$Q$5&amp;":"&amp;Q651&amp;";")&amp;IF(R651="","",'[2]10 CH'!$R$5&amp;":"&amp;R651&amp;";")&amp;IF(S651="","",'[2]10 CH'!$S$5&amp;":"&amp;S651&amp;";")&amp;IF(T651="","",'[2]10 CH'!$T$5&amp;":"&amp;T651&amp;";")&amp;IF(U651="","",'[2]10 CH'!$U$5&amp;":"&amp;U651&amp;";")&amp;IF(V651="","",'[2]10 CH'!$V$5&amp;":"&amp;V651&amp;";")&amp;IF(W651="","",'[2]10 CH'!$W$5&amp;":"&amp;W651&amp;";")&amp;IF(X651="","",'[2]10 CH'!$X$5&amp;":"&amp;X651&amp;";")&amp;IF(Y651="","",'[2]10 CH'!$Y$5&amp;":"&amp;Y651&amp;";")&amp;IF(Z651="","",'[2]10 CH'!$Z$5&amp;":"&amp;Z651&amp;";")&amp;IF(AA651="","",'[2]10 CH'!$AA$5&amp;":"&amp;AA651&amp;";")&amp;IF(AB651="","",'[2]10 CH'!$AB$5&amp;":"&amp;AB651&amp;";")&amp;IF(AC651="","",'[2]10 CH'!$AC$5&amp;":"&amp;AC651&amp;";")&amp;IF(AD651="","",'[2]10 CH'!$AD$5&amp;":"&amp;AD651&amp;";")&amp;IF(AE651="","",'[2]10 CH'!$AE$5&amp;":"&amp;AE651&amp;";")&amp;IF(AF651="","",'[2]10 CH'!$AF$5&amp;":"&amp;AF651&amp;";")&amp;IF(AG651="","",'[2]10 CH'!$AG$5&amp;":"&amp;AG651&amp;";")&amp;IF(AH651="","",'[2]10 CH'!$AH$5&amp;":"&amp;AH651&amp;";")&amp;IF(AI651="","",'[2]10 CH'!$AI$5&amp;":"&amp;AI651&amp;";")&amp;IF(AJ651="","",'[2]10 CH'!$AJ$5&amp;":"&amp;AJ651&amp;";")&amp;IF(AK651="","",'[2]10 CH'!$AK$5&amp;":"&amp;AK651&amp;";")&amp;IF(AL651="","",'[2]10 CH'!$AL$5&amp;":"&amp;AL651&amp;";")&amp;IF(AM651="","",'[2]10 CH'!$AM$5&amp;":"&amp;AM651&amp;";")&amp;IF(AN651="","",'[2]10 CH'!$AN$5&amp;":"&amp;AN651&amp;";")&amp;IF(AO651="","",'[2]10 CH'!$AO$5&amp;":"&amp;AO651&amp;";")&amp;IF(AP651="","",'[2]10 CH'!$AP$5&amp;":"&amp;AP651&amp;";")&amp;IF(AQ651="","",'[2]10 CH'!$AQ$5&amp;":"&amp;AQ651&amp;";")&amp;IF(AR651="","",'[2]10 CH'!$AR$5&amp;":"&amp;AR651&amp;";")&amp;IF(AS651="","",'[2]10 CH'!$AS$5&amp;":"&amp;AS651&amp;";")</f>
        <v>SKC:0,95;TSC:0,4;</v>
      </c>
      <c r="K651" s="361"/>
      <c r="L651" s="361"/>
      <c r="M651" s="361"/>
      <c r="N651" s="361"/>
      <c r="O651" s="361"/>
      <c r="P651" s="361"/>
      <c r="Q651" s="361"/>
      <c r="R651" s="361"/>
      <c r="S651" s="361"/>
      <c r="T651" s="361">
        <v>0.95</v>
      </c>
      <c r="U651" s="361"/>
      <c r="V651" s="361"/>
      <c r="W651" s="361"/>
      <c r="X651" s="361"/>
      <c r="Y651" s="361"/>
      <c r="Z651" s="361"/>
      <c r="AA651" s="361"/>
      <c r="AB651" s="361"/>
      <c r="AC651" s="361"/>
      <c r="AD651" s="361"/>
      <c r="AE651" s="361"/>
      <c r="AF651" s="361"/>
      <c r="AG651" s="361"/>
      <c r="AH651" s="361"/>
      <c r="AI651" s="361"/>
      <c r="AJ651" s="361"/>
      <c r="AK651" s="361"/>
      <c r="AL651" s="361">
        <v>0.4</v>
      </c>
      <c r="AM651" s="361"/>
      <c r="AN651" s="361"/>
      <c r="AO651" s="361"/>
      <c r="AP651" s="361"/>
      <c r="AQ651" s="361"/>
      <c r="AR651" s="361"/>
      <c r="AS651" s="361"/>
      <c r="AT651" s="270"/>
      <c r="AU651" s="270"/>
      <c r="AV651" s="338" t="s">
        <v>283</v>
      </c>
      <c r="AW651" s="249"/>
      <c r="AX651" s="249" t="s">
        <v>1704</v>
      </c>
      <c r="AY651" s="267" t="s">
        <v>1704</v>
      </c>
      <c r="AZ651" s="352" t="s">
        <v>1706</v>
      </c>
      <c r="BA651" s="250"/>
      <c r="BB651" s="250" t="s">
        <v>263</v>
      </c>
      <c r="BC651" s="250"/>
      <c r="BD651" s="249"/>
      <c r="BI651" s="548"/>
      <c r="BJ651" s="548"/>
    </row>
    <row r="652" spans="1:62" ht="44.25" customHeight="1">
      <c r="A652" s="355">
        <f>SUBTOTAL(3,C$11:$C652)</f>
        <v>460</v>
      </c>
      <c r="B652" s="337" t="s">
        <v>963</v>
      </c>
      <c r="C652" s="338" t="s">
        <v>56</v>
      </c>
      <c r="D652" s="361">
        <v>0.04</v>
      </c>
      <c r="E652" s="147"/>
      <c r="F652" s="339">
        <v>0.04</v>
      </c>
      <c r="G652" s="414">
        <f t="shared" si="90"/>
        <v>9.9999999999999992E-2</v>
      </c>
      <c r="H652" s="413" t="s">
        <v>1620</v>
      </c>
      <c r="I652" s="413" t="s">
        <v>1620</v>
      </c>
      <c r="J652" s="413"/>
      <c r="K652" s="413" t="str">
        <f t="shared" si="91"/>
        <v xml:space="preserve">DGT, NTD, ONT, </v>
      </c>
      <c r="L652" s="413" t="str">
        <f t="shared" si="92"/>
        <v>DGT:0,01;NTD:0,06;ONT:0,03;</v>
      </c>
      <c r="M652" s="339"/>
      <c r="N652" s="339"/>
      <c r="O652" s="339"/>
      <c r="P652" s="339"/>
      <c r="Q652" s="339"/>
      <c r="R652" s="339"/>
      <c r="S652" s="339"/>
      <c r="T652" s="339"/>
      <c r="U652" s="339"/>
      <c r="V652" s="339"/>
      <c r="W652" s="339">
        <v>0.01</v>
      </c>
      <c r="X652" s="339"/>
      <c r="Y652" s="339"/>
      <c r="Z652" s="339"/>
      <c r="AA652" s="339"/>
      <c r="AB652" s="339"/>
      <c r="AC652" s="339"/>
      <c r="AD652" s="339"/>
      <c r="AE652" s="339"/>
      <c r="AF652" s="339"/>
      <c r="AG652" s="339"/>
      <c r="AH652" s="339">
        <v>0.06</v>
      </c>
      <c r="AI652" s="339"/>
      <c r="AJ652" s="339"/>
      <c r="AK652" s="339"/>
      <c r="AL652" s="339">
        <v>0.03</v>
      </c>
      <c r="AM652" s="339"/>
      <c r="AN652" s="339"/>
      <c r="AO652" s="339"/>
      <c r="AP652" s="339"/>
      <c r="AQ652" s="339"/>
      <c r="AR652" s="339"/>
      <c r="AS652" s="339"/>
      <c r="AT652" s="339"/>
      <c r="AU652" s="339"/>
      <c r="AV652" s="338" t="s">
        <v>306</v>
      </c>
      <c r="AW652" s="338" t="s">
        <v>306</v>
      </c>
      <c r="AX652" s="350" t="s">
        <v>964</v>
      </c>
      <c r="AY652" s="356" t="s">
        <v>964</v>
      </c>
      <c r="AZ652" s="352"/>
      <c r="BA652" s="350"/>
      <c r="BB652" s="350"/>
      <c r="BC652" s="195" t="s">
        <v>270</v>
      </c>
      <c r="BD652" s="195"/>
      <c r="BE652" s="195"/>
      <c r="BF652" s="195"/>
      <c r="BG652" s="195" t="s">
        <v>263</v>
      </c>
      <c r="BH652" s="350"/>
    </row>
    <row r="653" spans="1:62" ht="44.25" customHeight="1">
      <c r="A653" s="355">
        <f>SUBTOTAL(3,C$11:$C653)</f>
        <v>461</v>
      </c>
      <c r="B653" s="337" t="s">
        <v>965</v>
      </c>
      <c r="C653" s="338" t="s">
        <v>56</v>
      </c>
      <c r="D653" s="361">
        <v>0.02</v>
      </c>
      <c r="E653" s="339"/>
      <c r="F653" s="339">
        <v>0.02</v>
      </c>
      <c r="G653" s="414">
        <f t="shared" si="90"/>
        <v>0.02</v>
      </c>
      <c r="H653" s="413" t="s">
        <v>48</v>
      </c>
      <c r="I653" s="413" t="s">
        <v>48</v>
      </c>
      <c r="J653" s="413"/>
      <c r="K653" s="413" t="str">
        <f t="shared" si="91"/>
        <v xml:space="preserve">DGD, </v>
      </c>
      <c r="L653" s="413" t="str">
        <f t="shared" si="92"/>
        <v>DGD:0,02;</v>
      </c>
      <c r="M653" s="339"/>
      <c r="N653" s="339"/>
      <c r="O653" s="339"/>
      <c r="P653" s="339"/>
      <c r="Q653" s="339"/>
      <c r="R653" s="339"/>
      <c r="S653" s="339"/>
      <c r="T653" s="339"/>
      <c r="U653" s="339"/>
      <c r="V653" s="339"/>
      <c r="W653" s="339"/>
      <c r="X653" s="339"/>
      <c r="Y653" s="339"/>
      <c r="Z653" s="339"/>
      <c r="AA653" s="339">
        <v>0.02</v>
      </c>
      <c r="AB653" s="339"/>
      <c r="AC653" s="339"/>
      <c r="AD653" s="339"/>
      <c r="AE653" s="339"/>
      <c r="AF653" s="339"/>
      <c r="AG653" s="339"/>
      <c r="AH653" s="339"/>
      <c r="AI653" s="339"/>
      <c r="AJ653" s="339"/>
      <c r="AK653" s="339"/>
      <c r="AL653" s="339"/>
      <c r="AM653" s="339"/>
      <c r="AN653" s="339"/>
      <c r="AO653" s="339"/>
      <c r="AP653" s="339"/>
      <c r="AQ653" s="339"/>
      <c r="AR653" s="339"/>
      <c r="AS653" s="339"/>
      <c r="AT653" s="339"/>
      <c r="AU653" s="339"/>
      <c r="AV653" s="338" t="s">
        <v>318</v>
      </c>
      <c r="AW653" s="338" t="s">
        <v>318</v>
      </c>
      <c r="AX653" s="350" t="s">
        <v>1753</v>
      </c>
      <c r="AY653" s="356"/>
      <c r="AZ653" s="352"/>
      <c r="BA653" s="350"/>
      <c r="BB653" s="350"/>
      <c r="BC653" s="195" t="s">
        <v>270</v>
      </c>
      <c r="BD653" s="195"/>
      <c r="BE653" s="195"/>
      <c r="BF653" s="195" t="s">
        <v>263</v>
      </c>
      <c r="BG653" s="195"/>
      <c r="BH653" s="350"/>
    </row>
    <row r="654" spans="1:62" ht="44.25" customHeight="1">
      <c r="A654" s="355">
        <f>SUBTOTAL(3,C$11:$C654)</f>
        <v>462</v>
      </c>
      <c r="B654" s="337" t="s">
        <v>966</v>
      </c>
      <c r="C654" s="338" t="s">
        <v>56</v>
      </c>
      <c r="D654" s="339">
        <v>2.3900000000000001E-2</v>
      </c>
      <c r="E654" s="339"/>
      <c r="F654" s="339">
        <v>2.3900000000000001E-2</v>
      </c>
      <c r="G654" s="414">
        <f t="shared" si="90"/>
        <v>0.02</v>
      </c>
      <c r="H654" s="413" t="s">
        <v>5</v>
      </c>
      <c r="I654" s="413" t="s">
        <v>7</v>
      </c>
      <c r="J654" s="413"/>
      <c r="K654" s="413" t="str">
        <f t="shared" si="91"/>
        <v xml:space="preserve">LUC, </v>
      </c>
      <c r="L654" s="413" t="str">
        <f t="shared" si="92"/>
        <v>LUC:0,02;</v>
      </c>
      <c r="M654" s="339">
        <v>0.02</v>
      </c>
      <c r="N654" s="339"/>
      <c r="O654" s="339"/>
      <c r="P654" s="339"/>
      <c r="Q654" s="339"/>
      <c r="R654" s="339"/>
      <c r="S654" s="339"/>
      <c r="T654" s="339"/>
      <c r="U654" s="339"/>
      <c r="V654" s="339"/>
      <c r="W654" s="339"/>
      <c r="X654" s="339"/>
      <c r="Y654" s="339"/>
      <c r="Z654" s="339"/>
      <c r="AA654" s="339"/>
      <c r="AB654" s="339"/>
      <c r="AC654" s="339"/>
      <c r="AD654" s="339"/>
      <c r="AE654" s="339"/>
      <c r="AF654" s="339"/>
      <c r="AG654" s="339"/>
      <c r="AH654" s="339"/>
      <c r="AI654" s="339"/>
      <c r="AJ654" s="339"/>
      <c r="AK654" s="339"/>
      <c r="AL654" s="339"/>
      <c r="AM654" s="339"/>
      <c r="AN654" s="339"/>
      <c r="AO654" s="339"/>
      <c r="AP654" s="339"/>
      <c r="AQ654" s="339"/>
      <c r="AR654" s="339"/>
      <c r="AS654" s="339"/>
      <c r="AT654" s="339"/>
      <c r="AU654" s="339"/>
      <c r="AV654" s="338" t="s">
        <v>277</v>
      </c>
      <c r="AW654" s="338" t="s">
        <v>277</v>
      </c>
      <c r="AX654" s="350" t="s">
        <v>967</v>
      </c>
      <c r="AY654" s="356" t="s">
        <v>967</v>
      </c>
      <c r="AZ654" s="352"/>
      <c r="BA654" s="350"/>
      <c r="BB654" s="350"/>
      <c r="BC654" s="195" t="s">
        <v>270</v>
      </c>
      <c r="BD654" s="195"/>
      <c r="BE654" s="195"/>
      <c r="BF654" s="195"/>
      <c r="BG654" s="195" t="s">
        <v>263</v>
      </c>
      <c r="BH654" s="350"/>
    </row>
    <row r="655" spans="1:62" ht="44.25" customHeight="1">
      <c r="A655" s="355">
        <f>SUBTOTAL(3,C$11:$C655)</f>
        <v>463</v>
      </c>
      <c r="B655" s="337" t="s">
        <v>933</v>
      </c>
      <c r="C655" s="338" t="s">
        <v>56</v>
      </c>
      <c r="D655" s="361">
        <v>30</v>
      </c>
      <c r="E655" s="366"/>
      <c r="F655" s="361">
        <v>30</v>
      </c>
      <c r="G655" s="414">
        <f t="shared" si="90"/>
        <v>0</v>
      </c>
      <c r="H655" s="413" t="s">
        <v>1196</v>
      </c>
      <c r="I655" s="413" t="s">
        <v>968</v>
      </c>
      <c r="J655" s="413"/>
      <c r="K655" s="413" t="str">
        <f t="shared" si="91"/>
        <v/>
      </c>
      <c r="L655" s="413" t="str">
        <f t="shared" si="92"/>
        <v/>
      </c>
      <c r="M655" s="361"/>
      <c r="N655" s="361"/>
      <c r="O655" s="361"/>
      <c r="P655" s="361"/>
      <c r="Q655" s="361"/>
      <c r="R655" s="361"/>
      <c r="S655" s="361"/>
      <c r="T655" s="361"/>
      <c r="U655" s="361"/>
      <c r="V655" s="361"/>
      <c r="W655" s="361"/>
      <c r="X655" s="361"/>
      <c r="Y655" s="361"/>
      <c r="Z655" s="361"/>
      <c r="AA655" s="361"/>
      <c r="AB655" s="361"/>
      <c r="AC655" s="361"/>
      <c r="AD655" s="361"/>
      <c r="AE655" s="361"/>
      <c r="AF655" s="361"/>
      <c r="AG655" s="361"/>
      <c r="AH655" s="361"/>
      <c r="AI655" s="361"/>
      <c r="AJ655" s="361"/>
      <c r="AK655" s="361"/>
      <c r="AL655" s="361"/>
      <c r="AM655" s="361"/>
      <c r="AN655" s="361"/>
      <c r="AO655" s="361"/>
      <c r="AP655" s="361"/>
      <c r="AQ655" s="361"/>
      <c r="AR655" s="361"/>
      <c r="AS655" s="361"/>
      <c r="AT655" s="361"/>
      <c r="AU655" s="361"/>
      <c r="AV655" s="338" t="s">
        <v>969</v>
      </c>
      <c r="AW655" s="338" t="s">
        <v>969</v>
      </c>
      <c r="AX655" s="350"/>
      <c r="AY655" s="356"/>
      <c r="AZ655" s="352"/>
      <c r="BA655" s="350"/>
      <c r="BB655" s="350"/>
      <c r="BC655" s="195" t="s">
        <v>270</v>
      </c>
      <c r="BD655" s="195"/>
      <c r="BE655" s="195"/>
      <c r="BF655" s="195" t="s">
        <v>263</v>
      </c>
      <c r="BG655" s="195"/>
      <c r="BH655" s="350"/>
    </row>
    <row r="656" spans="1:62" ht="44.25" customHeight="1">
      <c r="A656" s="355">
        <f>SUBTOTAL(3,C$11:$C656)</f>
        <v>464</v>
      </c>
      <c r="B656" s="613" t="s">
        <v>970</v>
      </c>
      <c r="C656" s="614" t="s">
        <v>56</v>
      </c>
      <c r="D656" s="612">
        <v>10</v>
      </c>
      <c r="E656" s="612"/>
      <c r="F656" s="612">
        <v>10</v>
      </c>
      <c r="G656" s="414">
        <f t="shared" si="90"/>
        <v>0.71</v>
      </c>
      <c r="H656" s="413" t="s">
        <v>1196</v>
      </c>
      <c r="I656" s="413" t="s">
        <v>968</v>
      </c>
      <c r="J656" s="413"/>
      <c r="K656" s="413" t="str">
        <f t="shared" si="91"/>
        <v xml:space="preserve">LUC, HNK, CLN, </v>
      </c>
      <c r="L656" s="413" t="str">
        <f t="shared" si="92"/>
        <v>LUC:0,31;HNK:0,2;CLN:0,2;</v>
      </c>
      <c r="M656" s="339">
        <v>0.31</v>
      </c>
      <c r="N656" s="339"/>
      <c r="O656" s="339">
        <v>0.2</v>
      </c>
      <c r="P656" s="339">
        <v>0.2</v>
      </c>
      <c r="Q656" s="339"/>
      <c r="R656" s="339"/>
      <c r="S656" s="339"/>
      <c r="T656" s="339"/>
      <c r="U656" s="339"/>
      <c r="V656" s="339"/>
      <c r="W656" s="339"/>
      <c r="X656" s="339"/>
      <c r="Y656" s="339"/>
      <c r="Z656" s="339"/>
      <c r="AA656" s="339"/>
      <c r="AB656" s="339"/>
      <c r="AC656" s="339"/>
      <c r="AD656" s="339"/>
      <c r="AE656" s="339"/>
      <c r="AF656" s="339"/>
      <c r="AG656" s="339"/>
      <c r="AH656" s="339"/>
      <c r="AI656" s="339"/>
      <c r="AJ656" s="339"/>
      <c r="AK656" s="339"/>
      <c r="AL656" s="339"/>
      <c r="AM656" s="339"/>
      <c r="AN656" s="339"/>
      <c r="AO656" s="339"/>
      <c r="AP656" s="339"/>
      <c r="AQ656" s="339"/>
      <c r="AR656" s="339"/>
      <c r="AS656" s="339"/>
      <c r="AT656" s="339"/>
      <c r="AU656" s="339"/>
      <c r="AV656" s="338" t="s">
        <v>969</v>
      </c>
      <c r="AW656" s="338" t="s">
        <v>969</v>
      </c>
      <c r="AX656" s="350"/>
      <c r="AY656" s="356"/>
      <c r="AZ656" s="352"/>
      <c r="BA656" s="350"/>
      <c r="BB656" s="350"/>
      <c r="BC656" s="627" t="s">
        <v>270</v>
      </c>
      <c r="BD656" s="341"/>
      <c r="BE656" s="341"/>
      <c r="BF656" s="341"/>
      <c r="BG656" s="341"/>
      <c r="BH656" s="350"/>
    </row>
    <row r="657" spans="1:62" ht="44.25" hidden="1" customHeight="1">
      <c r="A657" s="355"/>
      <c r="B657" s="613"/>
      <c r="C657" s="614"/>
      <c r="D657" s="612"/>
      <c r="E657" s="612"/>
      <c r="F657" s="612"/>
      <c r="G657" s="414">
        <f t="shared" si="90"/>
        <v>0.71</v>
      </c>
      <c r="H657" s="413" t="s">
        <v>1196</v>
      </c>
      <c r="I657" s="413" t="s">
        <v>968</v>
      </c>
      <c r="J657" s="413"/>
      <c r="K657" s="413" t="str">
        <f t="shared" si="91"/>
        <v xml:space="preserve">LUC, HNK, CLN, </v>
      </c>
      <c r="L657" s="413" t="str">
        <f t="shared" si="92"/>
        <v>LUC:0,31;HNK:0,2;CLN:0,2;</v>
      </c>
      <c r="M657" s="339">
        <v>0.31</v>
      </c>
      <c r="N657" s="339"/>
      <c r="O657" s="339">
        <v>0.2</v>
      </c>
      <c r="P657" s="339">
        <v>0.2</v>
      </c>
      <c r="Q657" s="339"/>
      <c r="R657" s="339"/>
      <c r="S657" s="339"/>
      <c r="T657" s="339"/>
      <c r="U657" s="339"/>
      <c r="V657" s="339"/>
      <c r="W657" s="339"/>
      <c r="X657" s="339"/>
      <c r="Y657" s="339"/>
      <c r="Z657" s="339"/>
      <c r="AA657" s="339"/>
      <c r="AB657" s="339"/>
      <c r="AC657" s="339"/>
      <c r="AD657" s="339"/>
      <c r="AE657" s="339"/>
      <c r="AF657" s="339"/>
      <c r="AG657" s="339"/>
      <c r="AH657" s="339"/>
      <c r="AI657" s="339"/>
      <c r="AJ657" s="339"/>
      <c r="AK657" s="339"/>
      <c r="AL657" s="339"/>
      <c r="AM657" s="339"/>
      <c r="AN657" s="339"/>
      <c r="AO657" s="339"/>
      <c r="AP657" s="339"/>
      <c r="AQ657" s="339"/>
      <c r="AR657" s="339"/>
      <c r="AS657" s="339"/>
      <c r="AT657" s="339"/>
      <c r="AU657" s="339"/>
      <c r="AV657" s="338" t="s">
        <v>370</v>
      </c>
      <c r="AW657" s="338" t="s">
        <v>370</v>
      </c>
      <c r="AX657" s="350"/>
      <c r="AY657" s="356"/>
      <c r="AZ657" s="352"/>
      <c r="BA657" s="350"/>
      <c r="BB657" s="350"/>
      <c r="BC657" s="632"/>
      <c r="BD657" s="341"/>
      <c r="BE657" s="341"/>
      <c r="BF657" s="341"/>
      <c r="BG657" s="341"/>
      <c r="BH657" s="350"/>
    </row>
    <row r="658" spans="1:62" ht="44.25" hidden="1" customHeight="1">
      <c r="A658" s="355"/>
      <c r="B658" s="613"/>
      <c r="C658" s="614"/>
      <c r="D658" s="612"/>
      <c r="E658" s="612"/>
      <c r="F658" s="612"/>
      <c r="G658" s="414">
        <f t="shared" si="90"/>
        <v>0.71</v>
      </c>
      <c r="H658" s="413" t="s">
        <v>1196</v>
      </c>
      <c r="I658" s="413" t="s">
        <v>968</v>
      </c>
      <c r="J658" s="413"/>
      <c r="K658" s="413" t="str">
        <f t="shared" si="91"/>
        <v xml:space="preserve">LUC, HNK, CLN, </v>
      </c>
      <c r="L658" s="413" t="str">
        <f t="shared" si="92"/>
        <v>LUC:0,31;HNK:0,2;CLN:0,2;</v>
      </c>
      <c r="M658" s="339">
        <v>0.31</v>
      </c>
      <c r="N658" s="339"/>
      <c r="O658" s="339">
        <v>0.2</v>
      </c>
      <c r="P658" s="339">
        <v>0.2</v>
      </c>
      <c r="Q658" s="339"/>
      <c r="R658" s="339"/>
      <c r="S658" s="339"/>
      <c r="T658" s="339"/>
      <c r="U658" s="339"/>
      <c r="V658" s="339"/>
      <c r="W658" s="339"/>
      <c r="X658" s="339"/>
      <c r="Y658" s="339"/>
      <c r="Z658" s="339"/>
      <c r="AA658" s="339"/>
      <c r="AB658" s="339"/>
      <c r="AC658" s="339"/>
      <c r="AD658" s="339"/>
      <c r="AE658" s="339"/>
      <c r="AF658" s="339"/>
      <c r="AG658" s="339"/>
      <c r="AH658" s="339"/>
      <c r="AI658" s="339"/>
      <c r="AJ658" s="339"/>
      <c r="AK658" s="339"/>
      <c r="AL658" s="339"/>
      <c r="AM658" s="339"/>
      <c r="AN658" s="339"/>
      <c r="AO658" s="339"/>
      <c r="AP658" s="339"/>
      <c r="AQ658" s="339"/>
      <c r="AR658" s="339"/>
      <c r="AS658" s="339"/>
      <c r="AT658" s="339"/>
      <c r="AU658" s="339"/>
      <c r="AV658" s="338" t="s">
        <v>258</v>
      </c>
      <c r="AW658" s="338" t="s">
        <v>258</v>
      </c>
      <c r="AX658" s="350"/>
      <c r="AY658" s="356"/>
      <c r="AZ658" s="352"/>
      <c r="BA658" s="350"/>
      <c r="BB658" s="350"/>
      <c r="BC658" s="632"/>
      <c r="BD658" s="342"/>
      <c r="BE658" s="342"/>
      <c r="BF658" s="342"/>
      <c r="BG658" s="342"/>
      <c r="BH658" s="350"/>
    </row>
    <row r="659" spans="1:62" ht="44.25" hidden="1" customHeight="1">
      <c r="A659" s="355"/>
      <c r="B659" s="613"/>
      <c r="C659" s="614"/>
      <c r="D659" s="612"/>
      <c r="E659" s="612"/>
      <c r="F659" s="612"/>
      <c r="G659" s="414">
        <f t="shared" si="90"/>
        <v>0.71</v>
      </c>
      <c r="H659" s="413" t="s">
        <v>1120</v>
      </c>
      <c r="I659" s="413" t="s">
        <v>1120</v>
      </c>
      <c r="J659" s="413"/>
      <c r="K659" s="413" t="str">
        <f t="shared" si="91"/>
        <v xml:space="preserve">HNK, CLN, </v>
      </c>
      <c r="L659" s="413" t="str">
        <f t="shared" si="92"/>
        <v>HNK:0,28;CLN:0,43;</v>
      </c>
      <c r="M659" s="339"/>
      <c r="N659" s="339"/>
      <c r="O659" s="339">
        <v>0.28000000000000003</v>
      </c>
      <c r="P659" s="339">
        <v>0.43</v>
      </c>
      <c r="Q659" s="339"/>
      <c r="R659" s="339"/>
      <c r="S659" s="339"/>
      <c r="T659" s="339"/>
      <c r="U659" s="339"/>
      <c r="V659" s="339"/>
      <c r="W659" s="339"/>
      <c r="X659" s="339"/>
      <c r="Y659" s="339"/>
      <c r="Z659" s="339"/>
      <c r="AA659" s="339"/>
      <c r="AB659" s="339"/>
      <c r="AC659" s="339"/>
      <c r="AD659" s="339"/>
      <c r="AE659" s="339"/>
      <c r="AF659" s="339"/>
      <c r="AG659" s="339"/>
      <c r="AH659" s="339"/>
      <c r="AI659" s="339"/>
      <c r="AJ659" s="339"/>
      <c r="AK659" s="339"/>
      <c r="AL659" s="339"/>
      <c r="AM659" s="339"/>
      <c r="AN659" s="339"/>
      <c r="AO659" s="339"/>
      <c r="AP659" s="339"/>
      <c r="AQ659" s="339"/>
      <c r="AR659" s="339"/>
      <c r="AS659" s="339"/>
      <c r="AT659" s="339"/>
      <c r="AU659" s="339"/>
      <c r="AV659" s="338" t="s">
        <v>318</v>
      </c>
      <c r="AW659" s="338" t="s">
        <v>318</v>
      </c>
      <c r="AX659" s="350"/>
      <c r="AY659" s="356"/>
      <c r="AZ659" s="352"/>
      <c r="BA659" s="350"/>
      <c r="BB659" s="350"/>
      <c r="BC659" s="632"/>
      <c r="BD659" s="342"/>
      <c r="BE659" s="342"/>
      <c r="BF659" s="342"/>
      <c r="BG659" s="342"/>
      <c r="BH659" s="350"/>
    </row>
    <row r="660" spans="1:62" ht="44.25" hidden="1" customHeight="1">
      <c r="A660" s="355"/>
      <c r="B660" s="613"/>
      <c r="C660" s="614"/>
      <c r="D660" s="612"/>
      <c r="E660" s="612"/>
      <c r="F660" s="612"/>
      <c r="G660" s="414">
        <f t="shared" si="90"/>
        <v>0.72</v>
      </c>
      <c r="H660" s="413" t="s">
        <v>1196</v>
      </c>
      <c r="I660" s="413" t="s">
        <v>968</v>
      </c>
      <c r="J660" s="413"/>
      <c r="K660" s="413" t="str">
        <f t="shared" si="91"/>
        <v xml:space="preserve">LUC, HNK, CLN, </v>
      </c>
      <c r="L660" s="413" t="str">
        <f t="shared" si="92"/>
        <v>LUC:0,31;HNK:0,21;CLN:0,2;</v>
      </c>
      <c r="M660" s="339">
        <v>0.31</v>
      </c>
      <c r="N660" s="339"/>
      <c r="O660" s="339">
        <v>0.21</v>
      </c>
      <c r="P660" s="339">
        <v>0.2</v>
      </c>
      <c r="Q660" s="339"/>
      <c r="R660" s="339"/>
      <c r="S660" s="339"/>
      <c r="T660" s="339"/>
      <c r="U660" s="339"/>
      <c r="V660" s="339"/>
      <c r="W660" s="339"/>
      <c r="X660" s="339"/>
      <c r="Y660" s="339"/>
      <c r="Z660" s="339"/>
      <c r="AA660" s="339"/>
      <c r="AB660" s="339"/>
      <c r="AC660" s="339"/>
      <c r="AD660" s="339"/>
      <c r="AE660" s="339"/>
      <c r="AF660" s="339"/>
      <c r="AG660" s="339"/>
      <c r="AH660" s="339"/>
      <c r="AI660" s="339"/>
      <c r="AJ660" s="339"/>
      <c r="AK660" s="339"/>
      <c r="AL660" s="339"/>
      <c r="AM660" s="339"/>
      <c r="AN660" s="339"/>
      <c r="AO660" s="339"/>
      <c r="AP660" s="339"/>
      <c r="AQ660" s="339"/>
      <c r="AR660" s="339"/>
      <c r="AS660" s="339"/>
      <c r="AT660" s="339"/>
      <c r="AU660" s="339"/>
      <c r="AV660" s="338" t="s">
        <v>277</v>
      </c>
      <c r="AW660" s="338" t="s">
        <v>277</v>
      </c>
      <c r="AX660" s="350"/>
      <c r="AY660" s="356"/>
      <c r="AZ660" s="352"/>
      <c r="BA660" s="350"/>
      <c r="BB660" s="350"/>
      <c r="BC660" s="632"/>
      <c r="BD660" s="342"/>
      <c r="BE660" s="342"/>
      <c r="BF660" s="342"/>
      <c r="BG660" s="342"/>
      <c r="BH660" s="350"/>
    </row>
    <row r="661" spans="1:62" ht="44.25" hidden="1" customHeight="1">
      <c r="A661" s="355"/>
      <c r="B661" s="613"/>
      <c r="C661" s="614"/>
      <c r="D661" s="612"/>
      <c r="E661" s="612"/>
      <c r="F661" s="612"/>
      <c r="G661" s="414">
        <f t="shared" si="90"/>
        <v>0.71</v>
      </c>
      <c r="H661" s="413" t="s">
        <v>1196</v>
      </c>
      <c r="I661" s="413" t="s">
        <v>968</v>
      </c>
      <c r="J661" s="413"/>
      <c r="K661" s="413" t="str">
        <f t="shared" si="91"/>
        <v xml:space="preserve">LUC, HNK, CLN, </v>
      </c>
      <c r="L661" s="413" t="str">
        <f t="shared" si="92"/>
        <v>LUC:0,31;HNK:0,2;CLN:0,2;</v>
      </c>
      <c r="M661" s="339">
        <v>0.31</v>
      </c>
      <c r="N661" s="339"/>
      <c r="O661" s="339">
        <v>0.2</v>
      </c>
      <c r="P661" s="339">
        <v>0.2</v>
      </c>
      <c r="Q661" s="339"/>
      <c r="R661" s="339"/>
      <c r="S661" s="339"/>
      <c r="T661" s="339"/>
      <c r="U661" s="339"/>
      <c r="V661" s="339"/>
      <c r="W661" s="339"/>
      <c r="X661" s="339"/>
      <c r="Y661" s="339"/>
      <c r="Z661" s="339"/>
      <c r="AA661" s="339"/>
      <c r="AB661" s="339"/>
      <c r="AC661" s="339"/>
      <c r="AD661" s="339"/>
      <c r="AE661" s="339"/>
      <c r="AF661" s="339"/>
      <c r="AG661" s="339"/>
      <c r="AH661" s="339"/>
      <c r="AI661" s="339"/>
      <c r="AJ661" s="339"/>
      <c r="AK661" s="339"/>
      <c r="AL661" s="339"/>
      <c r="AM661" s="339"/>
      <c r="AN661" s="339"/>
      <c r="AO661" s="339"/>
      <c r="AP661" s="339"/>
      <c r="AQ661" s="339"/>
      <c r="AR661" s="339"/>
      <c r="AS661" s="339"/>
      <c r="AT661" s="339"/>
      <c r="AU661" s="339"/>
      <c r="AV661" s="338" t="s">
        <v>280</v>
      </c>
      <c r="AW661" s="338" t="s">
        <v>280</v>
      </c>
      <c r="AX661" s="350"/>
      <c r="AY661" s="356"/>
      <c r="AZ661" s="352"/>
      <c r="BA661" s="350"/>
      <c r="BB661" s="350"/>
      <c r="BC661" s="632"/>
      <c r="BD661" s="342"/>
      <c r="BE661" s="342"/>
      <c r="BF661" s="342"/>
      <c r="BG661" s="342"/>
      <c r="BH661" s="350"/>
    </row>
    <row r="662" spans="1:62" ht="44.25" hidden="1" customHeight="1">
      <c r="A662" s="355"/>
      <c r="B662" s="613"/>
      <c r="C662" s="614"/>
      <c r="D662" s="612"/>
      <c r="E662" s="612"/>
      <c r="F662" s="612"/>
      <c r="G662" s="414">
        <f t="shared" si="90"/>
        <v>0.72</v>
      </c>
      <c r="H662" s="413" t="s">
        <v>1196</v>
      </c>
      <c r="I662" s="413" t="s">
        <v>968</v>
      </c>
      <c r="J662" s="413"/>
      <c r="K662" s="413" t="str">
        <f t="shared" si="91"/>
        <v xml:space="preserve">LUC, HNK, CLN, </v>
      </c>
      <c r="L662" s="413" t="str">
        <f t="shared" si="92"/>
        <v>LUC:0,31;HNK:0,2;CLN:0,21;</v>
      </c>
      <c r="M662" s="339">
        <v>0.31</v>
      </c>
      <c r="N662" s="339"/>
      <c r="O662" s="339">
        <v>0.2</v>
      </c>
      <c r="P662" s="339">
        <v>0.21</v>
      </c>
      <c r="Q662" s="339"/>
      <c r="R662" s="339"/>
      <c r="S662" s="339"/>
      <c r="T662" s="339"/>
      <c r="U662" s="339"/>
      <c r="V662" s="339"/>
      <c r="W662" s="339"/>
      <c r="X662" s="339"/>
      <c r="Y662" s="339"/>
      <c r="Z662" s="339"/>
      <c r="AA662" s="339"/>
      <c r="AB662" s="339"/>
      <c r="AC662" s="339"/>
      <c r="AD662" s="339"/>
      <c r="AE662" s="339"/>
      <c r="AF662" s="339"/>
      <c r="AG662" s="339"/>
      <c r="AH662" s="339"/>
      <c r="AI662" s="339"/>
      <c r="AJ662" s="339"/>
      <c r="AK662" s="339"/>
      <c r="AL662" s="339"/>
      <c r="AM662" s="339"/>
      <c r="AN662" s="339"/>
      <c r="AO662" s="339"/>
      <c r="AP662" s="339"/>
      <c r="AQ662" s="339"/>
      <c r="AR662" s="339"/>
      <c r="AS662" s="339"/>
      <c r="AT662" s="339"/>
      <c r="AU662" s="339"/>
      <c r="AV662" s="338" t="s">
        <v>306</v>
      </c>
      <c r="AW662" s="338" t="s">
        <v>306</v>
      </c>
      <c r="AX662" s="350"/>
      <c r="AY662" s="356"/>
      <c r="AZ662" s="352"/>
      <c r="BA662" s="350"/>
      <c r="BB662" s="350"/>
      <c r="BC662" s="632"/>
      <c r="BD662" s="342"/>
      <c r="BE662" s="342"/>
      <c r="BF662" s="342" t="s">
        <v>263</v>
      </c>
      <c r="BG662" s="342"/>
      <c r="BH662" s="350"/>
    </row>
    <row r="663" spans="1:62" ht="44.25" hidden="1" customHeight="1">
      <c r="A663" s="355"/>
      <c r="B663" s="613"/>
      <c r="C663" s="614"/>
      <c r="D663" s="612"/>
      <c r="E663" s="612"/>
      <c r="F663" s="612"/>
      <c r="G663" s="414">
        <f t="shared" si="90"/>
        <v>0.71</v>
      </c>
      <c r="H663" s="413" t="s">
        <v>1196</v>
      </c>
      <c r="I663" s="413" t="s">
        <v>968</v>
      </c>
      <c r="J663" s="413"/>
      <c r="K663" s="413" t="str">
        <f t="shared" si="91"/>
        <v xml:space="preserve">LUC, HNK, CLN, </v>
      </c>
      <c r="L663" s="413" t="str">
        <f t="shared" si="92"/>
        <v>LUC:0,31;HNK:0,2;CLN:0,2;</v>
      </c>
      <c r="M663" s="339">
        <v>0.31</v>
      </c>
      <c r="N663" s="339"/>
      <c r="O663" s="339">
        <v>0.2</v>
      </c>
      <c r="P663" s="339">
        <v>0.2</v>
      </c>
      <c r="Q663" s="339"/>
      <c r="R663" s="339"/>
      <c r="S663" s="339"/>
      <c r="T663" s="339"/>
      <c r="U663" s="339"/>
      <c r="V663" s="339"/>
      <c r="W663" s="339"/>
      <c r="X663" s="339"/>
      <c r="Y663" s="339"/>
      <c r="Z663" s="339"/>
      <c r="AA663" s="339"/>
      <c r="AB663" s="339"/>
      <c r="AC663" s="339"/>
      <c r="AD663" s="339"/>
      <c r="AE663" s="339"/>
      <c r="AF663" s="339"/>
      <c r="AG663" s="339"/>
      <c r="AH663" s="339"/>
      <c r="AI663" s="339"/>
      <c r="AJ663" s="339"/>
      <c r="AK663" s="339"/>
      <c r="AL663" s="339"/>
      <c r="AM663" s="339"/>
      <c r="AN663" s="339"/>
      <c r="AO663" s="339"/>
      <c r="AP663" s="339"/>
      <c r="AQ663" s="339"/>
      <c r="AR663" s="339"/>
      <c r="AS663" s="339"/>
      <c r="AT663" s="339"/>
      <c r="AU663" s="339"/>
      <c r="AV663" s="338" t="s">
        <v>283</v>
      </c>
      <c r="AW663" s="338" t="s">
        <v>283</v>
      </c>
      <c r="AX663" s="350"/>
      <c r="AY663" s="356"/>
      <c r="AZ663" s="352"/>
      <c r="BA663" s="350"/>
      <c r="BB663" s="350"/>
      <c r="BC663" s="632"/>
      <c r="BD663" s="342"/>
      <c r="BE663" s="342"/>
      <c r="BF663" s="342" t="s">
        <v>263</v>
      </c>
      <c r="BG663" s="342"/>
      <c r="BH663" s="350"/>
    </row>
    <row r="664" spans="1:62" ht="44.25" hidden="1" customHeight="1">
      <c r="A664" s="355"/>
      <c r="B664" s="613"/>
      <c r="C664" s="614"/>
      <c r="D664" s="612"/>
      <c r="E664" s="612"/>
      <c r="F664" s="612"/>
      <c r="G664" s="414">
        <f t="shared" si="90"/>
        <v>0.72</v>
      </c>
      <c r="H664" s="413" t="s">
        <v>1196</v>
      </c>
      <c r="I664" s="413" t="s">
        <v>968</v>
      </c>
      <c r="J664" s="413"/>
      <c r="K664" s="413" t="str">
        <f t="shared" si="91"/>
        <v xml:space="preserve">LUC, HNK, CLN, </v>
      </c>
      <c r="L664" s="413" t="str">
        <f t="shared" si="92"/>
        <v>LUC:0,31;HNK:0,21;CLN:0,2;</v>
      </c>
      <c r="M664" s="339">
        <v>0.31</v>
      </c>
      <c r="N664" s="339"/>
      <c r="O664" s="339">
        <v>0.21</v>
      </c>
      <c r="P664" s="339">
        <v>0.2</v>
      </c>
      <c r="Q664" s="339"/>
      <c r="R664" s="339"/>
      <c r="S664" s="339"/>
      <c r="T664" s="339"/>
      <c r="U664" s="339"/>
      <c r="V664" s="339"/>
      <c r="W664" s="339"/>
      <c r="X664" s="339"/>
      <c r="Y664" s="339"/>
      <c r="Z664" s="339"/>
      <c r="AA664" s="339"/>
      <c r="AB664" s="339"/>
      <c r="AC664" s="339"/>
      <c r="AD664" s="339"/>
      <c r="AE664" s="339"/>
      <c r="AF664" s="339"/>
      <c r="AG664" s="339"/>
      <c r="AH664" s="339"/>
      <c r="AI664" s="339"/>
      <c r="AJ664" s="339"/>
      <c r="AK664" s="339"/>
      <c r="AL664" s="339"/>
      <c r="AM664" s="339"/>
      <c r="AN664" s="339"/>
      <c r="AO664" s="339"/>
      <c r="AP664" s="339"/>
      <c r="AQ664" s="339"/>
      <c r="AR664" s="339"/>
      <c r="AS664" s="339"/>
      <c r="AT664" s="339"/>
      <c r="AU664" s="339"/>
      <c r="AV664" s="338" t="s">
        <v>286</v>
      </c>
      <c r="AW664" s="338" t="s">
        <v>286</v>
      </c>
      <c r="AX664" s="350"/>
      <c r="AY664" s="356"/>
      <c r="AZ664" s="352"/>
      <c r="BA664" s="350"/>
      <c r="BB664" s="350"/>
      <c r="BC664" s="632"/>
      <c r="BD664" s="342"/>
      <c r="BE664" s="342"/>
      <c r="BF664" s="342"/>
      <c r="BG664" s="342"/>
      <c r="BH664" s="350"/>
    </row>
    <row r="665" spans="1:62" ht="44.25" hidden="1" customHeight="1">
      <c r="A665" s="355"/>
      <c r="B665" s="613"/>
      <c r="C665" s="614"/>
      <c r="D665" s="612"/>
      <c r="E665" s="612"/>
      <c r="F665" s="612"/>
      <c r="G665" s="414">
        <f t="shared" si="90"/>
        <v>0.72</v>
      </c>
      <c r="H665" s="413" t="s">
        <v>1196</v>
      </c>
      <c r="I665" s="413" t="s">
        <v>968</v>
      </c>
      <c r="J665" s="413"/>
      <c r="K665" s="413" t="str">
        <f t="shared" si="91"/>
        <v xml:space="preserve">LUC, HNK, CLN, </v>
      </c>
      <c r="L665" s="413" t="str">
        <f t="shared" si="92"/>
        <v>LUC:0,31;HNK:0,21;CLN:0,2;</v>
      </c>
      <c r="M665" s="339">
        <v>0.31</v>
      </c>
      <c r="N665" s="339"/>
      <c r="O665" s="339">
        <v>0.21</v>
      </c>
      <c r="P665" s="339">
        <v>0.2</v>
      </c>
      <c r="Q665" s="339"/>
      <c r="R665" s="339"/>
      <c r="S665" s="339"/>
      <c r="T665" s="339"/>
      <c r="U665" s="339"/>
      <c r="V665" s="339"/>
      <c r="W665" s="339"/>
      <c r="X665" s="339"/>
      <c r="Y665" s="339"/>
      <c r="Z665" s="339"/>
      <c r="AA665" s="339"/>
      <c r="AB665" s="339"/>
      <c r="AC665" s="339"/>
      <c r="AD665" s="339"/>
      <c r="AE665" s="339"/>
      <c r="AF665" s="339"/>
      <c r="AG665" s="339"/>
      <c r="AH665" s="339"/>
      <c r="AI665" s="339"/>
      <c r="AJ665" s="339"/>
      <c r="AK665" s="339"/>
      <c r="AL665" s="339"/>
      <c r="AM665" s="339"/>
      <c r="AN665" s="339"/>
      <c r="AO665" s="339"/>
      <c r="AP665" s="339"/>
      <c r="AQ665" s="339"/>
      <c r="AR665" s="339"/>
      <c r="AS665" s="339"/>
      <c r="AT665" s="339"/>
      <c r="AU665" s="339"/>
      <c r="AV665" s="338" t="s">
        <v>289</v>
      </c>
      <c r="AW665" s="338" t="s">
        <v>289</v>
      </c>
      <c r="AX665" s="350"/>
      <c r="AY665" s="356"/>
      <c r="AZ665" s="352"/>
      <c r="BA665" s="350"/>
      <c r="BB665" s="350"/>
      <c r="BC665" s="632"/>
      <c r="BD665" s="342"/>
      <c r="BE665" s="342"/>
      <c r="BF665" s="342"/>
      <c r="BG665" s="342"/>
      <c r="BH665" s="350"/>
    </row>
    <row r="666" spans="1:62" ht="44.25" hidden="1" customHeight="1">
      <c r="A666" s="355"/>
      <c r="B666" s="613"/>
      <c r="C666" s="614"/>
      <c r="D666" s="612"/>
      <c r="E666" s="612"/>
      <c r="F666" s="612"/>
      <c r="G666" s="414">
        <f t="shared" si="90"/>
        <v>0.71</v>
      </c>
      <c r="H666" s="413" t="s">
        <v>1196</v>
      </c>
      <c r="I666" s="413" t="s">
        <v>968</v>
      </c>
      <c r="J666" s="413"/>
      <c r="K666" s="413" t="str">
        <f t="shared" si="91"/>
        <v xml:space="preserve">LUC, HNK, CLN, </v>
      </c>
      <c r="L666" s="413" t="str">
        <f t="shared" si="92"/>
        <v>LUC:0,31;HNK:0,2;CLN:0,2;</v>
      </c>
      <c r="M666" s="339">
        <v>0.31</v>
      </c>
      <c r="N666" s="339"/>
      <c r="O666" s="339">
        <v>0.2</v>
      </c>
      <c r="P666" s="339">
        <v>0.2</v>
      </c>
      <c r="Q666" s="339"/>
      <c r="R666" s="339"/>
      <c r="S666" s="339"/>
      <c r="T666" s="339"/>
      <c r="U666" s="339"/>
      <c r="V666" s="339"/>
      <c r="W666" s="339"/>
      <c r="X666" s="339"/>
      <c r="Y666" s="339"/>
      <c r="Z666" s="339"/>
      <c r="AA666" s="339"/>
      <c r="AB666" s="339"/>
      <c r="AC666" s="339"/>
      <c r="AD666" s="339"/>
      <c r="AE666" s="339"/>
      <c r="AF666" s="339"/>
      <c r="AG666" s="339"/>
      <c r="AH666" s="339"/>
      <c r="AI666" s="339"/>
      <c r="AJ666" s="339"/>
      <c r="AK666" s="339"/>
      <c r="AL666" s="339"/>
      <c r="AM666" s="339"/>
      <c r="AN666" s="339"/>
      <c r="AO666" s="339"/>
      <c r="AP666" s="339"/>
      <c r="AQ666" s="339"/>
      <c r="AR666" s="339"/>
      <c r="AS666" s="339"/>
      <c r="AT666" s="339"/>
      <c r="AU666" s="339"/>
      <c r="AV666" s="338" t="s">
        <v>309</v>
      </c>
      <c r="AW666" s="338" t="s">
        <v>309</v>
      </c>
      <c r="AX666" s="350"/>
      <c r="AY666" s="356"/>
      <c r="AZ666" s="352"/>
      <c r="BA666" s="350"/>
      <c r="BB666" s="350"/>
      <c r="BC666" s="632"/>
      <c r="BD666" s="342"/>
      <c r="BE666" s="342"/>
      <c r="BF666" s="342"/>
      <c r="BG666" s="342"/>
      <c r="BH666" s="350"/>
    </row>
    <row r="667" spans="1:62" ht="44.25" hidden="1" customHeight="1">
      <c r="A667" s="355"/>
      <c r="B667" s="613"/>
      <c r="C667" s="614"/>
      <c r="D667" s="612"/>
      <c r="E667" s="612"/>
      <c r="F667" s="612"/>
      <c r="G667" s="414">
        <f t="shared" si="90"/>
        <v>0.71</v>
      </c>
      <c r="H667" s="413" t="s">
        <v>1621</v>
      </c>
      <c r="I667" s="413" t="s">
        <v>1621</v>
      </c>
      <c r="J667" s="413"/>
      <c r="K667" s="413" t="str">
        <f t="shared" si="91"/>
        <v xml:space="preserve">LUK, HNK, CLN, </v>
      </c>
      <c r="L667" s="413" t="str">
        <f t="shared" si="92"/>
        <v>LUK:0,31;HNK:0,2;CLN:0,2;</v>
      </c>
      <c r="M667" s="339"/>
      <c r="N667" s="339">
        <v>0.31</v>
      </c>
      <c r="O667" s="339">
        <v>0.2</v>
      </c>
      <c r="P667" s="339">
        <v>0.2</v>
      </c>
      <c r="Q667" s="339"/>
      <c r="R667" s="339"/>
      <c r="S667" s="339"/>
      <c r="T667" s="339"/>
      <c r="U667" s="339"/>
      <c r="V667" s="339"/>
      <c r="W667" s="339"/>
      <c r="X667" s="339"/>
      <c r="Y667" s="339"/>
      <c r="Z667" s="339"/>
      <c r="AA667" s="339"/>
      <c r="AB667" s="339"/>
      <c r="AC667" s="339"/>
      <c r="AD667" s="339"/>
      <c r="AE667" s="339"/>
      <c r="AF667" s="339"/>
      <c r="AG667" s="339"/>
      <c r="AH667" s="339"/>
      <c r="AI667" s="339"/>
      <c r="AJ667" s="339"/>
      <c r="AK667" s="339"/>
      <c r="AL667" s="339"/>
      <c r="AM667" s="339"/>
      <c r="AN667" s="339"/>
      <c r="AO667" s="339"/>
      <c r="AP667" s="339"/>
      <c r="AQ667" s="339"/>
      <c r="AR667" s="339"/>
      <c r="AS667" s="339"/>
      <c r="AT667" s="339"/>
      <c r="AU667" s="339"/>
      <c r="AV667" s="338" t="s">
        <v>292</v>
      </c>
      <c r="AW667" s="338" t="s">
        <v>292</v>
      </c>
      <c r="AX667" s="350"/>
      <c r="AY667" s="356"/>
      <c r="AZ667" s="352"/>
      <c r="BA667" s="350"/>
      <c r="BB667" s="350"/>
      <c r="BC667" s="632"/>
      <c r="BD667" s="342"/>
      <c r="BE667" s="342"/>
      <c r="BF667" s="342"/>
      <c r="BG667" s="342"/>
      <c r="BH667" s="350"/>
    </row>
    <row r="668" spans="1:62" ht="44.25" hidden="1" customHeight="1">
      <c r="A668" s="355"/>
      <c r="B668" s="613"/>
      <c r="C668" s="614"/>
      <c r="D668" s="612"/>
      <c r="E668" s="612"/>
      <c r="F668" s="612"/>
      <c r="G668" s="414">
        <f t="shared" si="90"/>
        <v>0.72</v>
      </c>
      <c r="H668" s="413" t="s">
        <v>1622</v>
      </c>
      <c r="I668" s="413" t="s">
        <v>1623</v>
      </c>
      <c r="J668" s="413"/>
      <c r="K668" s="413" t="str">
        <f t="shared" si="91"/>
        <v xml:space="preserve">LUC, LUK, HNK, CLN, </v>
      </c>
      <c r="L668" s="413" t="str">
        <f t="shared" si="92"/>
        <v>LUC:0,05;LUK:0,26;HNK:0,2;CLN:0,21;</v>
      </c>
      <c r="M668" s="339">
        <v>0.05</v>
      </c>
      <c r="N668" s="339">
        <v>0.26</v>
      </c>
      <c r="O668" s="339">
        <v>0.2</v>
      </c>
      <c r="P668" s="339">
        <v>0.21</v>
      </c>
      <c r="Q668" s="339"/>
      <c r="R668" s="339"/>
      <c r="S668" s="339"/>
      <c r="T668" s="339"/>
      <c r="U668" s="339"/>
      <c r="V668" s="339"/>
      <c r="W668" s="339"/>
      <c r="X668" s="339"/>
      <c r="Y668" s="339"/>
      <c r="Z668" s="339"/>
      <c r="AA668" s="339"/>
      <c r="AB668" s="339"/>
      <c r="AC668" s="339"/>
      <c r="AD668" s="339"/>
      <c r="AE668" s="339"/>
      <c r="AF668" s="339"/>
      <c r="AG668" s="339"/>
      <c r="AH668" s="339"/>
      <c r="AI668" s="339"/>
      <c r="AJ668" s="339"/>
      <c r="AK668" s="339"/>
      <c r="AL668" s="339"/>
      <c r="AM668" s="339"/>
      <c r="AN668" s="339"/>
      <c r="AO668" s="339"/>
      <c r="AP668" s="339"/>
      <c r="AQ668" s="339"/>
      <c r="AR668" s="339"/>
      <c r="AS668" s="339"/>
      <c r="AT668" s="339"/>
      <c r="AU668" s="339"/>
      <c r="AV668" s="338" t="s">
        <v>295</v>
      </c>
      <c r="AW668" s="338" t="s">
        <v>295</v>
      </c>
      <c r="AX668" s="350"/>
      <c r="AY668" s="356"/>
      <c r="AZ668" s="352"/>
      <c r="BA668" s="350"/>
      <c r="BB668" s="350"/>
      <c r="BC668" s="632"/>
      <c r="BD668" s="342"/>
      <c r="BE668" s="342"/>
      <c r="BF668" s="342" t="s">
        <v>263</v>
      </c>
      <c r="BG668" s="342"/>
      <c r="BH668" s="350"/>
    </row>
    <row r="669" spans="1:62" ht="44.25" hidden="1" customHeight="1">
      <c r="A669" s="355"/>
      <c r="B669" s="613"/>
      <c r="C669" s="614"/>
      <c r="D669" s="612"/>
      <c r="E669" s="612"/>
      <c r="F669" s="612"/>
      <c r="G669" s="414">
        <f t="shared" si="90"/>
        <v>0.71</v>
      </c>
      <c r="H669" s="413" t="s">
        <v>1621</v>
      </c>
      <c r="I669" s="413" t="s">
        <v>1621</v>
      </c>
      <c r="J669" s="413"/>
      <c r="K669" s="413" t="str">
        <f t="shared" si="91"/>
        <v xml:space="preserve">LUK, HNK, CLN, </v>
      </c>
      <c r="L669" s="413" t="str">
        <f t="shared" si="92"/>
        <v>LUK:0,31;HNK:0,2;CLN:0,2;</v>
      </c>
      <c r="M669" s="339"/>
      <c r="N669" s="339">
        <v>0.31</v>
      </c>
      <c r="O669" s="339">
        <v>0.2</v>
      </c>
      <c r="P669" s="339">
        <v>0.2</v>
      </c>
      <c r="Q669" s="339"/>
      <c r="R669" s="339"/>
      <c r="S669" s="339"/>
      <c r="T669" s="339"/>
      <c r="U669" s="339"/>
      <c r="V669" s="339"/>
      <c r="W669" s="339"/>
      <c r="X669" s="339"/>
      <c r="Y669" s="339"/>
      <c r="Z669" s="339"/>
      <c r="AA669" s="339"/>
      <c r="AB669" s="339"/>
      <c r="AC669" s="339"/>
      <c r="AD669" s="339"/>
      <c r="AE669" s="339"/>
      <c r="AF669" s="339"/>
      <c r="AG669" s="339"/>
      <c r="AH669" s="339"/>
      <c r="AI669" s="339"/>
      <c r="AJ669" s="339"/>
      <c r="AK669" s="339"/>
      <c r="AL669" s="339"/>
      <c r="AM669" s="339"/>
      <c r="AN669" s="339"/>
      <c r="AO669" s="339"/>
      <c r="AP669" s="339"/>
      <c r="AQ669" s="339"/>
      <c r="AR669" s="339"/>
      <c r="AS669" s="339"/>
      <c r="AT669" s="339"/>
      <c r="AU669" s="339"/>
      <c r="AV669" s="338" t="s">
        <v>266</v>
      </c>
      <c r="AW669" s="338" t="s">
        <v>266</v>
      </c>
      <c r="AX669" s="350"/>
      <c r="AY669" s="356"/>
      <c r="AZ669" s="352"/>
      <c r="BA669" s="350"/>
      <c r="BB669" s="350"/>
      <c r="BC669" s="632"/>
      <c r="BD669" s="342"/>
      <c r="BE669" s="342"/>
      <c r="BF669" s="342"/>
      <c r="BG669" s="342"/>
      <c r="BH669" s="350"/>
    </row>
    <row r="670" spans="1:62" ht="44.25" hidden="1" customHeight="1">
      <c r="A670" s="355"/>
      <c r="B670" s="613"/>
      <c r="C670" s="614"/>
      <c r="D670" s="612"/>
      <c r="E670" s="612"/>
      <c r="F670" s="612"/>
      <c r="G670" s="414">
        <f t="shared" si="90"/>
        <v>0.72</v>
      </c>
      <c r="H670" s="413" t="s">
        <v>1196</v>
      </c>
      <c r="I670" s="413" t="s">
        <v>968</v>
      </c>
      <c r="J670" s="413"/>
      <c r="K670" s="413" t="str">
        <f t="shared" si="91"/>
        <v xml:space="preserve">LUC, HNK, CLN, </v>
      </c>
      <c r="L670" s="413" t="str">
        <f t="shared" si="92"/>
        <v>LUC:0,31;HNK:0,2;CLN:0,21;</v>
      </c>
      <c r="M670" s="339">
        <v>0.31</v>
      </c>
      <c r="N670" s="339"/>
      <c r="O670" s="339">
        <v>0.2</v>
      </c>
      <c r="P670" s="339">
        <v>0.21</v>
      </c>
      <c r="Q670" s="339"/>
      <c r="R670" s="339"/>
      <c r="S670" s="339"/>
      <c r="T670" s="339"/>
      <c r="U670" s="339"/>
      <c r="V670" s="339"/>
      <c r="W670" s="339"/>
      <c r="X670" s="339"/>
      <c r="Y670" s="339"/>
      <c r="Z670" s="339"/>
      <c r="AA670" s="339"/>
      <c r="AB670" s="339"/>
      <c r="AC670" s="339"/>
      <c r="AD670" s="339"/>
      <c r="AE670" s="339"/>
      <c r="AF670" s="339"/>
      <c r="AG670" s="339"/>
      <c r="AH670" s="339"/>
      <c r="AI670" s="339"/>
      <c r="AJ670" s="339"/>
      <c r="AK670" s="339"/>
      <c r="AL670" s="339"/>
      <c r="AM670" s="339"/>
      <c r="AN670" s="339"/>
      <c r="AO670" s="339"/>
      <c r="AP670" s="339"/>
      <c r="AQ670" s="339"/>
      <c r="AR670" s="339"/>
      <c r="AS670" s="339"/>
      <c r="AT670" s="339"/>
      <c r="AU670" s="339"/>
      <c r="AV670" s="338" t="s">
        <v>300</v>
      </c>
      <c r="AW670" s="338" t="s">
        <v>300</v>
      </c>
      <c r="AX670" s="350"/>
      <c r="AY670" s="356"/>
      <c r="AZ670" s="352"/>
      <c r="BA670" s="350"/>
      <c r="BB670" s="350"/>
      <c r="BC670" s="628"/>
      <c r="BD670" s="343"/>
      <c r="BE670" s="343"/>
      <c r="BF670" s="343" t="s">
        <v>263</v>
      </c>
      <c r="BG670" s="343"/>
      <c r="BH670" s="350"/>
    </row>
    <row r="671" spans="1:62" ht="44.25" customHeight="1">
      <c r="A671" s="355">
        <f>SUBTOTAL(3,C$11:$C671)</f>
        <v>465</v>
      </c>
      <c r="B671" s="345" t="s">
        <v>1624</v>
      </c>
      <c r="C671" s="346" t="s">
        <v>56</v>
      </c>
      <c r="D671" s="339">
        <v>1.8</v>
      </c>
      <c r="E671" s="339"/>
      <c r="F671" s="339">
        <v>1.8</v>
      </c>
      <c r="G671" s="414">
        <f>SUM(M671:AR671)</f>
        <v>1.8</v>
      </c>
      <c r="H671" s="413" t="s">
        <v>1072</v>
      </c>
      <c r="I671" s="413" t="s">
        <v>13</v>
      </c>
      <c r="J671" s="413" t="s">
        <v>1072</v>
      </c>
      <c r="K671" s="413" t="str">
        <f t="shared" si="91"/>
        <v xml:space="preserve">CLN, </v>
      </c>
      <c r="L671" s="413" t="str">
        <f>IF(M671="","",$M$5&amp;":"&amp;M671&amp;";")&amp;IF(N671="","",$N$5&amp;":"&amp;N671&amp;";")&amp;IF(O671="","",$O$5&amp;":"&amp;O671&amp;";")&amp;IF(P671="","",$P$5&amp;":"&amp;P671&amp;";")&amp;IF(Q671="","",$Q$5&amp;":"&amp;Q671&amp;";")&amp;IF(R671="","",$R$5&amp;":"&amp;R671&amp;";")&amp;IF(S671="","",$S$5&amp;":"&amp;S671&amp;";")&amp;IF(T671="","",$T$5&amp;":"&amp;T671&amp;";")&amp;IF(U671="","",$U$5&amp;":"&amp;U671&amp;";")&amp;IF(V671="","",$V$5&amp;":"&amp;V671&amp;";")&amp;IF(W671="","",$W$5&amp;":"&amp;W671&amp;";")&amp;IF(X671="","",$X$5&amp;":"&amp;X671&amp;";")&amp;IF(Y671="","",$Y$5&amp;":"&amp;Y671&amp;";")&amp;IF(Z671="","",$Z$5&amp;":"&amp;Z671&amp;";")&amp;IF(AA671="","",$AA$5&amp;":"&amp;AA671&amp;";")&amp;IF(AB671="","",$AB$5&amp;":"&amp;AB671&amp;";")&amp;IF(AC671="","",$AC$5&amp;":"&amp;AC671&amp;";")&amp;IF(AD671="","",$AD$5&amp;":"&amp;AD671&amp;";")&amp;IF(AE671="","",$AE$5&amp;":"&amp;AE671&amp;";")&amp;IF(AF671="","",$AF$5&amp;":"&amp;AF671&amp;";")&amp;IF(AG671="","",$AG$5&amp;":"&amp;AG671&amp;";")&amp;IF(AH671="","",$AH$5&amp;":"&amp;AH671&amp;";")&amp;IF(AI671="","",$AI$5&amp;":"&amp;AI671&amp;";")&amp;IF(AJ671="","",$AJ$5&amp;":"&amp;AJ671&amp;";")&amp;IF(AK671="","",$AK$5&amp;":"&amp;AK671&amp;";")&amp;IF(AL671="","",$AL$5&amp;":"&amp;AL671&amp;";")&amp;IF(AM671="","",$AM$5&amp;":"&amp;AM671&amp;";")&amp;IF(AN671="","",$AN$5&amp;":"&amp;AN671&amp;";")&amp;IF(AO671="","",$AO$5&amp;":"&amp;AO671&amp;";")&amp;IF(AP671="","",$AP$5&amp;":"&amp;AP671&amp;";")&amp;IF(AQ671="","",$AQ$5&amp;":"&amp;AQ671&amp;";")&amp;IF(AR671="","",$AR$5&amp;":"&amp;AR671&amp;";")&amp;IF(AS671="","",$AS$5&amp;":"&amp;AS671&amp;";")&amp;IF(AT671="","",$AT$5&amp;":"&amp;AT671&amp;";")&amp;IF(AU671="","",$AU$5&amp;":"&amp;AU671&amp;";")</f>
        <v>CLN:1,8;</v>
      </c>
      <c r="M671" s="339"/>
      <c r="N671" s="339"/>
      <c r="O671" s="339"/>
      <c r="P671" s="339">
        <v>1.8</v>
      </c>
      <c r="Q671" s="339"/>
      <c r="R671" s="339"/>
      <c r="S671" s="339"/>
      <c r="T671" s="339"/>
      <c r="U671" s="339"/>
      <c r="V671" s="339"/>
      <c r="W671" s="339"/>
      <c r="X671" s="339"/>
      <c r="Y671" s="339"/>
      <c r="Z671" s="339"/>
      <c r="AA671" s="339"/>
      <c r="AB671" s="339"/>
      <c r="AC671" s="339"/>
      <c r="AD671" s="339"/>
      <c r="AE671" s="339"/>
      <c r="AF671" s="339"/>
      <c r="AG671" s="339"/>
      <c r="AH671" s="339"/>
      <c r="AI671" s="339"/>
      <c r="AJ671" s="339"/>
      <c r="AK671" s="339"/>
      <c r="AL671" s="339"/>
      <c r="AM671" s="339"/>
      <c r="AN671" s="339"/>
      <c r="AO671" s="339"/>
      <c r="AP671" s="339"/>
      <c r="AQ671" s="339"/>
      <c r="AR671" s="339"/>
      <c r="AS671" s="339"/>
      <c r="AT671" s="339"/>
      <c r="AU671" s="339"/>
      <c r="AV671" s="338" t="s">
        <v>318</v>
      </c>
      <c r="AW671" s="338" t="s">
        <v>318</v>
      </c>
      <c r="AX671" s="350" t="s">
        <v>757</v>
      </c>
      <c r="AY671" s="356" t="s">
        <v>757</v>
      </c>
      <c r="AZ671" s="352" t="s">
        <v>1625</v>
      </c>
      <c r="BA671" s="350"/>
      <c r="BB671" s="350"/>
      <c r="BC671" s="195" t="s">
        <v>316</v>
      </c>
      <c r="BD671" s="195"/>
      <c r="BE671" s="195"/>
      <c r="BF671" s="195"/>
      <c r="BG671" s="195" t="s">
        <v>263</v>
      </c>
      <c r="BH671" s="350"/>
      <c r="BI671" s="409" t="s">
        <v>1947</v>
      </c>
    </row>
    <row r="672" spans="1:62" s="179" customFormat="1" ht="24.65" customHeight="1">
      <c r="A672" s="145"/>
      <c r="B672" s="163" t="s">
        <v>1759</v>
      </c>
      <c r="C672" s="164"/>
      <c r="D672" s="368"/>
      <c r="E672" s="368"/>
      <c r="F672" s="368"/>
      <c r="G672" s="410"/>
      <c r="H672" s="411"/>
      <c r="I672" s="411"/>
      <c r="J672" s="411"/>
      <c r="K672" s="411"/>
      <c r="L672" s="411"/>
      <c r="M672" s="368"/>
      <c r="N672" s="368"/>
      <c r="O672" s="368"/>
      <c r="P672" s="368"/>
      <c r="Q672" s="368"/>
      <c r="R672" s="368"/>
      <c r="S672" s="368"/>
      <c r="T672" s="368"/>
      <c r="U672" s="368"/>
      <c r="V672" s="368"/>
      <c r="W672" s="368"/>
      <c r="X672" s="368"/>
      <c r="Y672" s="368"/>
      <c r="Z672" s="368"/>
      <c r="AA672" s="368"/>
      <c r="AB672" s="368"/>
      <c r="AC672" s="368"/>
      <c r="AD672" s="368"/>
      <c r="AE672" s="368"/>
      <c r="AF672" s="368"/>
      <c r="AG672" s="368"/>
      <c r="AH672" s="368"/>
      <c r="AI672" s="368"/>
      <c r="AJ672" s="368"/>
      <c r="AK672" s="368"/>
      <c r="AL672" s="368"/>
      <c r="AM672" s="368"/>
      <c r="AN672" s="368"/>
      <c r="AO672" s="368"/>
      <c r="AP672" s="368"/>
      <c r="AQ672" s="368"/>
      <c r="AR672" s="368"/>
      <c r="AS672" s="368"/>
      <c r="AT672" s="368"/>
      <c r="AU672" s="368"/>
      <c r="AV672" s="368"/>
      <c r="AW672" s="368"/>
      <c r="AX672" s="368"/>
      <c r="AY672" s="257"/>
      <c r="AZ672" s="178"/>
      <c r="BA672" s="368"/>
      <c r="BB672" s="368"/>
      <c r="BC672" s="165"/>
      <c r="BD672" s="165"/>
      <c r="BE672" s="165"/>
      <c r="BF672" s="165"/>
      <c r="BG672" s="165"/>
      <c r="BH672" s="368"/>
      <c r="BI672" s="412"/>
      <c r="BJ672" s="412"/>
    </row>
    <row r="673" spans="1:62" s="485" customFormat="1" ht="31.5" customHeight="1">
      <c r="A673" s="504"/>
      <c r="B673" s="479" t="s">
        <v>1948</v>
      </c>
      <c r="C673" s="422" t="s">
        <v>56</v>
      </c>
      <c r="D673" s="506">
        <v>0.2</v>
      </c>
      <c r="E673" s="480"/>
      <c r="F673" s="506">
        <v>0.2</v>
      </c>
      <c r="G673" s="481"/>
      <c r="H673" s="507"/>
      <c r="I673" s="420"/>
      <c r="J673" s="420"/>
      <c r="K673" s="420"/>
      <c r="L673" s="420"/>
      <c r="M673" s="419"/>
      <c r="N673" s="419"/>
      <c r="O673" s="419"/>
      <c r="P673" s="419"/>
      <c r="Q673" s="419"/>
      <c r="R673" s="419"/>
      <c r="S673" s="419"/>
      <c r="T673" s="419"/>
      <c r="U673" s="419"/>
      <c r="V673" s="419"/>
      <c r="W673" s="419"/>
      <c r="X673" s="419"/>
      <c r="Y673" s="419"/>
      <c r="Z673" s="419"/>
      <c r="AA673" s="419"/>
      <c r="AB673" s="419"/>
      <c r="AC673" s="419"/>
      <c r="AD673" s="419"/>
      <c r="AE673" s="419"/>
      <c r="AF673" s="419"/>
      <c r="AG673" s="419"/>
      <c r="AH673" s="419"/>
      <c r="AI673" s="419"/>
      <c r="AJ673" s="419"/>
      <c r="AK673" s="419"/>
      <c r="AL673" s="419"/>
      <c r="AM673" s="419"/>
      <c r="AN673" s="419"/>
      <c r="AO673" s="419"/>
      <c r="AP673" s="419"/>
      <c r="AQ673" s="419"/>
      <c r="AR673" s="419"/>
      <c r="AS673" s="419"/>
      <c r="AT673" s="419"/>
      <c r="AU673" s="419"/>
      <c r="AV673" s="422" t="s">
        <v>309</v>
      </c>
      <c r="AW673" s="422"/>
      <c r="AX673" s="447"/>
      <c r="AY673" s="408"/>
      <c r="AZ673" s="449"/>
      <c r="BA673" s="449"/>
      <c r="BB673" s="449"/>
      <c r="BC673" s="483"/>
      <c r="BD673" s="483"/>
      <c r="BE673" s="483"/>
      <c r="BF673" s="483"/>
      <c r="BG673" s="483"/>
      <c r="BH673" s="449"/>
      <c r="BI673" s="429" t="s">
        <v>1859</v>
      </c>
      <c r="BJ673" s="429"/>
    </row>
    <row r="674" spans="1:62" s="485" customFormat="1" ht="31.5" customHeight="1">
      <c r="A674" s="504"/>
      <c r="B674" s="479" t="s">
        <v>1949</v>
      </c>
      <c r="C674" s="422" t="s">
        <v>56</v>
      </c>
      <c r="D674" s="480">
        <v>0.04</v>
      </c>
      <c r="E674" s="480"/>
      <c r="F674" s="480">
        <v>0.04</v>
      </c>
      <c r="G674" s="481"/>
      <c r="H674" s="507"/>
      <c r="I674" s="420"/>
      <c r="J674" s="420"/>
      <c r="K674" s="420"/>
      <c r="L674" s="420"/>
      <c r="M674" s="419"/>
      <c r="N674" s="419"/>
      <c r="O674" s="419"/>
      <c r="P674" s="419"/>
      <c r="Q674" s="419"/>
      <c r="R674" s="419"/>
      <c r="S674" s="419"/>
      <c r="T674" s="419"/>
      <c r="U674" s="419"/>
      <c r="V674" s="419"/>
      <c r="W674" s="419"/>
      <c r="X674" s="419"/>
      <c r="Y674" s="419"/>
      <c r="Z674" s="419"/>
      <c r="AA674" s="419"/>
      <c r="AB674" s="419"/>
      <c r="AC674" s="419"/>
      <c r="AD674" s="419"/>
      <c r="AE674" s="419"/>
      <c r="AF674" s="419"/>
      <c r="AG674" s="419"/>
      <c r="AH674" s="419"/>
      <c r="AI674" s="419"/>
      <c r="AJ674" s="419"/>
      <c r="AK674" s="419"/>
      <c r="AL674" s="419"/>
      <c r="AM674" s="419"/>
      <c r="AN674" s="419"/>
      <c r="AO674" s="419"/>
      <c r="AP674" s="419"/>
      <c r="AQ674" s="419"/>
      <c r="AR674" s="419"/>
      <c r="AS674" s="419"/>
      <c r="AT674" s="419"/>
      <c r="AU674" s="419"/>
      <c r="AV674" s="422" t="s">
        <v>309</v>
      </c>
      <c r="AW674" s="422"/>
      <c r="AX674" s="447"/>
      <c r="AY674" s="408"/>
      <c r="AZ674" s="449"/>
      <c r="BA674" s="449"/>
      <c r="BB674" s="449"/>
      <c r="BC674" s="483"/>
      <c r="BD674" s="483"/>
      <c r="BE674" s="483"/>
      <c r="BF674" s="483"/>
      <c r="BG674" s="483"/>
      <c r="BH674" s="449"/>
      <c r="BI674" s="429" t="s">
        <v>1859</v>
      </c>
      <c r="BJ674" s="429"/>
    </row>
    <row r="675" spans="1:62" s="485" customFormat="1" ht="31.5" customHeight="1">
      <c r="A675" s="504"/>
      <c r="B675" s="479" t="s">
        <v>1950</v>
      </c>
      <c r="C675" s="422" t="s">
        <v>56</v>
      </c>
      <c r="D675" s="480">
        <v>0.02</v>
      </c>
      <c r="E675" s="480"/>
      <c r="F675" s="480">
        <v>0.02</v>
      </c>
      <c r="G675" s="481"/>
      <c r="H675" s="507"/>
      <c r="I675" s="420"/>
      <c r="J675" s="420"/>
      <c r="K675" s="420"/>
      <c r="L675" s="420"/>
      <c r="M675" s="419"/>
      <c r="N675" s="419"/>
      <c r="O675" s="419"/>
      <c r="P675" s="419"/>
      <c r="Q675" s="419"/>
      <c r="R675" s="419"/>
      <c r="S675" s="419"/>
      <c r="T675" s="419"/>
      <c r="U675" s="419"/>
      <c r="V675" s="419"/>
      <c r="W675" s="419"/>
      <c r="X675" s="419"/>
      <c r="Y675" s="419"/>
      <c r="Z675" s="419"/>
      <c r="AA675" s="419"/>
      <c r="AB675" s="419"/>
      <c r="AC675" s="419"/>
      <c r="AD675" s="419"/>
      <c r="AE675" s="419"/>
      <c r="AF675" s="419"/>
      <c r="AG675" s="419"/>
      <c r="AH675" s="419"/>
      <c r="AI675" s="419"/>
      <c r="AJ675" s="419"/>
      <c r="AK675" s="419"/>
      <c r="AL675" s="419"/>
      <c r="AM675" s="419"/>
      <c r="AN675" s="419"/>
      <c r="AO675" s="419"/>
      <c r="AP675" s="419"/>
      <c r="AQ675" s="419"/>
      <c r="AR675" s="419"/>
      <c r="AS675" s="419"/>
      <c r="AT675" s="419"/>
      <c r="AU675" s="419"/>
      <c r="AV675" s="422" t="s">
        <v>309</v>
      </c>
      <c r="AW675" s="422"/>
      <c r="AX675" s="447"/>
      <c r="AY675" s="408"/>
      <c r="AZ675" s="449"/>
      <c r="BA675" s="449"/>
      <c r="BB675" s="449"/>
      <c r="BC675" s="483"/>
      <c r="BD675" s="483"/>
      <c r="BE675" s="483"/>
      <c r="BF675" s="483"/>
      <c r="BG675" s="483"/>
      <c r="BH675" s="449"/>
      <c r="BI675" s="429" t="s">
        <v>1859</v>
      </c>
      <c r="BJ675" s="429"/>
    </row>
    <row r="676" spans="1:62" s="485" customFormat="1" ht="31.5" customHeight="1">
      <c r="A676" s="504"/>
      <c r="B676" s="479" t="s">
        <v>1951</v>
      </c>
      <c r="C676" s="422" t="s">
        <v>56</v>
      </c>
      <c r="D676" s="480">
        <v>0.03</v>
      </c>
      <c r="E676" s="480"/>
      <c r="F676" s="480">
        <v>0.03</v>
      </c>
      <c r="G676" s="481"/>
      <c r="H676" s="507"/>
      <c r="I676" s="420"/>
      <c r="J676" s="420"/>
      <c r="K676" s="420"/>
      <c r="L676" s="420"/>
      <c r="M676" s="419"/>
      <c r="N676" s="419"/>
      <c r="O676" s="419"/>
      <c r="P676" s="419"/>
      <c r="Q676" s="419"/>
      <c r="R676" s="419"/>
      <c r="S676" s="419"/>
      <c r="T676" s="419"/>
      <c r="U676" s="419"/>
      <c r="V676" s="419"/>
      <c r="W676" s="419"/>
      <c r="X676" s="419"/>
      <c r="Y676" s="419"/>
      <c r="Z676" s="419"/>
      <c r="AA676" s="419"/>
      <c r="AB676" s="419"/>
      <c r="AC676" s="419"/>
      <c r="AD676" s="419"/>
      <c r="AE676" s="419"/>
      <c r="AF676" s="419"/>
      <c r="AG676" s="419"/>
      <c r="AH676" s="419"/>
      <c r="AI676" s="419"/>
      <c r="AJ676" s="419"/>
      <c r="AK676" s="419"/>
      <c r="AL676" s="419"/>
      <c r="AM676" s="419"/>
      <c r="AN676" s="419"/>
      <c r="AO676" s="419"/>
      <c r="AP676" s="419"/>
      <c r="AQ676" s="419"/>
      <c r="AR676" s="419"/>
      <c r="AS676" s="419"/>
      <c r="AT676" s="419"/>
      <c r="AU676" s="419"/>
      <c r="AV676" s="422" t="s">
        <v>309</v>
      </c>
      <c r="AW676" s="422"/>
      <c r="AX676" s="447"/>
      <c r="AY676" s="408"/>
      <c r="AZ676" s="449"/>
      <c r="BA676" s="449"/>
      <c r="BB676" s="449"/>
      <c r="BC676" s="483"/>
      <c r="BD676" s="483"/>
      <c r="BE676" s="483"/>
      <c r="BF676" s="483"/>
      <c r="BG676" s="483"/>
      <c r="BH676" s="449"/>
      <c r="BI676" s="429" t="s">
        <v>1859</v>
      </c>
      <c r="BJ676" s="429"/>
    </row>
    <row r="677" spans="1:62" s="485" customFormat="1" ht="31.5" customHeight="1">
      <c r="A677" s="504"/>
      <c r="B677" s="479" t="s">
        <v>1952</v>
      </c>
      <c r="C677" s="422" t="s">
        <v>56</v>
      </c>
      <c r="D677" s="480">
        <v>0.25</v>
      </c>
      <c r="E677" s="480"/>
      <c r="F677" s="480">
        <v>0.25</v>
      </c>
      <c r="G677" s="481"/>
      <c r="H677" s="507"/>
      <c r="I677" s="420"/>
      <c r="J677" s="420"/>
      <c r="K677" s="420"/>
      <c r="L677" s="420"/>
      <c r="M677" s="419"/>
      <c r="N677" s="419"/>
      <c r="O677" s="419"/>
      <c r="P677" s="419"/>
      <c r="Q677" s="419"/>
      <c r="R677" s="419"/>
      <c r="S677" s="419"/>
      <c r="T677" s="419"/>
      <c r="U677" s="419"/>
      <c r="V677" s="419"/>
      <c r="W677" s="419"/>
      <c r="X677" s="419"/>
      <c r="Y677" s="419"/>
      <c r="Z677" s="419"/>
      <c r="AA677" s="419"/>
      <c r="AB677" s="419"/>
      <c r="AC677" s="419"/>
      <c r="AD677" s="419"/>
      <c r="AE677" s="419"/>
      <c r="AF677" s="419"/>
      <c r="AG677" s="419"/>
      <c r="AH677" s="419"/>
      <c r="AI677" s="419"/>
      <c r="AJ677" s="419"/>
      <c r="AK677" s="419"/>
      <c r="AL677" s="419"/>
      <c r="AM677" s="419"/>
      <c r="AN677" s="419"/>
      <c r="AO677" s="419"/>
      <c r="AP677" s="419"/>
      <c r="AQ677" s="419"/>
      <c r="AR677" s="419"/>
      <c r="AS677" s="419"/>
      <c r="AT677" s="419"/>
      <c r="AU677" s="419"/>
      <c r="AV677" s="422" t="s">
        <v>309</v>
      </c>
      <c r="AW677" s="422"/>
      <c r="AX677" s="447"/>
      <c r="AY677" s="408"/>
      <c r="AZ677" s="449"/>
      <c r="BA677" s="449"/>
      <c r="BB677" s="449"/>
      <c r="BC677" s="483"/>
      <c r="BD677" s="483"/>
      <c r="BE677" s="483"/>
      <c r="BF677" s="483"/>
      <c r="BG677" s="483"/>
      <c r="BH677" s="449"/>
      <c r="BI677" s="429" t="s">
        <v>1859</v>
      </c>
      <c r="BJ677" s="429"/>
    </row>
  </sheetData>
  <protectedRanges>
    <protectedRange sqref="B354:C354 B321 B320:C320" name="Range10_1_1_3_1_1_2_1_1_1_1_1_2_1_1_2_3_1_2_1_2"/>
    <protectedRange sqref="F445 F149 D46 D98 D445 D596 M445:AU445 M149:AU149 D448:D452 M448:AU452 F448:F452 D10 M401:AU402 D440:D441 F441 M441:AU441 D454 F454 M454:AU454 D85:D89 D154 D519 D236 D249 D263 D497:D498 D360 D584:D585 D593:D594 D599 D214:D218 D41:D43 D404:D408 D167:D170 D199 D21 F104 M104:AU104 M408:AU408 F408 D49:D50 D68:D72 D74:D76 D78:D81 D206 D202 D100:D104 D194 D208:D212 D255 D229:D234 F401:F402 D36 D391:D393 D399:D402 D53:D66 D378:D379 D635 D278:D279 D159:D161 D226:D227 D274:D276 D603:D604 D554:D572 D488:D495 D147:D151 D252:D253 D465:D466 F466 M466:AU466 D480:D481 F481 M481:AU481 D483:D486 D529:D548 D576:D577 D582 D525 F525 M525:AU525 D245:D246 D222 D184 D16 D389" name="Range10_1_1_3_1_1_2_1_1_1_1_1_2_1_1_2_1_1_5"/>
    <protectedRange sqref="D45" name="Range10_1_1_3_1_1_2_1_1_1_1_1_2_1_1_2_2_1_2"/>
    <protectedRange sqref="D99" name="Range10_1_1_3_1_1_2_1_1_1_1_1_2_1_1_2_4_3_1_1_1"/>
    <protectedRange sqref="D587" name="Range10_1_1_3_1_1_2_1_1_1_1_1_2_1_1_2_5_2_2"/>
    <protectedRange sqref="F591 D588:D591 M591:AU591" name="Range10_1_1_3_1_1_2_1_1_1_1_1_2_1_1_2_6_1_1"/>
    <protectedRange sqref="D453" name="Range10_1_1_3_1_1_2_1_1_1_1_1_2_1_1_2_4_1_1_1"/>
    <protectedRange sqref="E513 D225 D228 D235 D251 D254 D198 D516:D517 D173:D174 D176:D180 D499:D514 D183 D193 D185" name="Range10_1_1_3_1_1_2_1_1_1_1_1_2_1_1_2_8_2_3"/>
    <protectedRange sqref="F294 D308 D317:E317 D354:E354 D294:D296 D358 D344 D306 M294:AU294 E322 E311:E316 F306 D319:E320 D321:F321 D346:D348 D350:D353" name="Range10_1_1_3_1_1_2_1_1_1_1_1_2_1_1_2_3_1_2_2"/>
    <protectedRange sqref="D381:D387" name="Range10_1_1_3_1_1_2_1_1_1_1_1_2_1_1_2_4_2_1_1"/>
    <protectedRange sqref="D158" name="Range10_1_1_3_1_1_2_1_1_1_1_1_2_1_1_2_1_2_2_1"/>
    <protectedRange sqref="D155 D157" name="Range10_1_1_3_1_1_2_1_1_1_1_1_2_1_1_2_1_1_1_1_1"/>
    <protectedRange sqref="D490:D491 D152" name="Range10_1_1_3_1_1_2_1_1_1_1_1_2_1_1_2_1_14_1_1"/>
    <protectedRange sqref="D153" name="Range10_1_1_3_1_1_2_1_1_1_1_1_2_1_1_2_1_15_1_1"/>
    <protectedRange sqref="D162:D163" name="Range10_1_1_3_1_1_2_1_1_1_1_1_2_1_1_2_1_16_1_1"/>
    <protectedRange sqref="D164:D166" name="Range10_1_1_3_1_1_2_1_1_1_1_1_2_1_1_2_1_17_1_1"/>
    <protectedRange sqref="D501 D499 D172" name="Range10_1_1_3_1_1_2_1_1_1_1_1_2_1_1_2_5_1_1_2"/>
    <protectedRange sqref="F187 D195:D197 D528 D186:D190" name="Range10_1_1_3_1_1_2_1_1_1_1_1_2_1_1_2_10_1_1"/>
    <protectedRange sqref="D200" name="Range10_1_1_3_1_1_2_1_1_1_1_1_2_1_1_2_1_2_1_1_1"/>
    <protectedRange sqref="D203 D201 D205" name="Range10_1_1_3_1_1_2_1_1_1_1_1_2_1_1_2_1_3_1_1"/>
    <protectedRange sqref="D538" name="Range10_1_1_3_1_1_2_1_1_1_1_1_2_1_1_2_7_1_1"/>
    <protectedRange sqref="D238:D240" name="Range10_1_1_3_1_1_2_1_1_1_1_1_2_1_1_2_1_4_1_1"/>
    <protectedRange sqref="D241:D242" name="Range10_1_1_3_1_1_2_1_1_1_1_1_2_1_1_2_3_2_1_1"/>
    <protectedRange sqref="D243:D244" name="Range10_1_1_3_1_1_2_1_1_1_1_1_2_1_1_2_3_1_1_1_1"/>
    <protectedRange sqref="D256 D264:D270 D531 D554:D557 D534:D535 D538:D548" name="Range10_1_1_3_1_1_2_1_1_1_1_1_2_1_1_2_1_5_1_1"/>
    <protectedRange sqref="D271 D257" name="Range10_1_1_3_1_1_2_1_1_1_1_1_2_1_1_2_1_7_1_1"/>
    <protectedRange sqref="D272" name="Range10_1_1_3_1_1_2_1_1_1_1_1_2_1_1_2_1_8_1_1"/>
    <protectedRange sqref="D273 D258:D262" name="Range10_1_1_3_1_1_2_1_1_1_1_1_2_1_1_2_1_9_1_1"/>
    <protectedRange sqref="D578" name="Range10_1_1_3_1_1_2_1_1_1_1_1_2_1_1_2_1_10_1_1"/>
    <protectedRange sqref="D394" name="Range10_1_1_3_1_1_2_1_1_1_1_1_2_1_1_2_1_11_1_1"/>
    <protectedRange sqref="D579:D581 D395:D398 D583" name="Range10_1_1_3_1_1_2_1_1_1_1_1_2_1_1_2_1_12_1_1"/>
    <protectedRange sqref="D595" name="Range10_1_1_3_1_1_2_1_1_1_1_1_2_1_1_2_1_13_1_1"/>
    <protectedRange sqref="D47" name="Range10_1_1_3_1_1_2_1_1_1_1_1_2_1_1_2_1_1_2_1"/>
    <protectedRange sqref="D44" name="Range10_1_1_3_1_1_2_1_1_1_1_1_2_1_1_2_1_1_3_1"/>
    <protectedRange sqref="D175" name="Range10_1_1_3_1_1_2_1_1_1_1_1_2_1_1_2_8_2_1_1"/>
    <protectedRange sqref="D181" name="Range10_1_1_3_1_1_2_1_1_1_1_1_2_1_1_2_8_4_1"/>
    <protectedRange sqref="D515" name="Range10_1_1_3_1_1_2_1_1_1_1_1_2_1_1_2_8_5_1"/>
    <protectedRange sqref="D518" name="Range10_1_1_3_1_1_2_1_1_1_1_1_2_1_1_2_8_6_1"/>
    <protectedRange sqref="D297:D298" name="Range10_1_1_3_1_1_2_1_1_1_1_1_2_1_1_2_3_1_2_1_1_1"/>
    <protectedRange sqref="D309" name="Range10_1_1_3_1_1_2_1_1_1_1_1_2_1_1_2_3_1_3_1"/>
    <protectedRange sqref="D586" name="Range10_1_1_3_1_1_2_1_1_1_1_1_2_1_1_2_5_2_1_1"/>
    <protectedRange sqref="F592 M592:AU592" name="Range10_1_1_3_1_1_2_1_1_1_1_1_2_1_1_2_2_1_1_1"/>
    <protectedRange sqref="D592" name="Range10_1_1_3_1_1_2_1_1_1_1_1_2_1_1_2_3_1_1_2"/>
    <protectedRange sqref="D82 D84" name="Range10_1_1_3_1_1_2_1_1_1_1_1_2_1_1_2_1_1_1_2"/>
    <protectedRange sqref="D237" name="Range10_1_1_3_1_1_2_1_1_1_1_1_2_1_1_2_3_1_4"/>
    <protectedRange sqref="D171" name="Range10_1_1_3_1_1_2_1_1_1_1_1_2_1_1_2_5_1_1_1_1"/>
    <protectedRange sqref="D182" name="Range10_1_1_3_1_1_2_1_1_1_1_1_2_1_1_2_5_1_1_2_1"/>
    <protectedRange sqref="D219 D221 D223:D224" name="Range10_1_1_3_1_1_2_1_1_1_1_1_2_1_1_2_1_1_4_1_1"/>
    <protectedRange sqref="D106 D108:D118" name="Range10_1_1_3_1_1_2_1_1_1_1_1_2_1_1_2_1_1_5_1"/>
    <protectedRange sqref="F134 D119:D138 F137:F138" name="Range10_1_1_3_1_1_2_1_1_1_1_1_2_1_1_2_1_1_5_1_1"/>
    <protectedRange sqref="D496" name="Range10_1_1_3_1_1_2_1_1_1_1_1_2_1_1_2_1_14_1_1_1"/>
    <protectedRange sqref="D520:D521 D523:E524" name="Range10_1_1_3_1_1_2_1_1_1_1_1_2_1_1_2_8_2_3_1"/>
    <protectedRange sqref="D522" name="Range10_1_1_3_1_1_2_1_1_1_1_1_2_1_1_2_8_2_2_1"/>
    <protectedRange sqref="D247:D248" name="Range10_1_1_3_1_1_2_1_1_1_1_1_2_1_1_2_1_4_1_1_1"/>
    <protectedRange sqref="E574:E575 E277" name="Range10_1_1_3_1_1_2_1_1_1_1_1_2_1_1_2_1_5_1_1_1"/>
    <protectedRange sqref="D549 D552" name="Range10_1_1_3_1_1_2_1_1_1_1_1_2_1_1_2_8_2_3_2"/>
    <protectedRange sqref="E551" name="Range10_1_1_3_1_1_2_1_1_1_1_1_2_1_1_2_1_5_1_1_2"/>
    <protectedRange sqref="E359" name="Range10_1_1_3_1_1_2_1_1_1_1_1_2_1_1_2_1_5_1_1_3"/>
    <protectedRange sqref="D600:D602" name="Range10_1_1_3_1_1_2_1_1_1_1_1_2_1_1_2_1_13_1_1_1"/>
    <protectedRange sqref="D417:D439 D482" name="Range10_1_1_3_1_1_2_1_1_1_1_1_2_1_1_2_1_13_1_1_2"/>
    <protectedRange sqref="D605 D573 D553 D550" name="Range10_1_1_3_1_1_2_1_1_1_1_1_2_1_1_2_1_1_5_2"/>
    <protectedRange sqref="B671:C671" name="Range10_1_1_3_1_1_2_1_1_1_1_1_2_1_1_2_3_1_2_1_2_1"/>
    <protectedRange sqref="D636 D672" name="Range10_1_1_3_1_1_2_1_1_1_1_1_2_1_1_2_1_1_5_3"/>
    <protectedRange sqref="D671:E671" name="Range10_1_1_3_1_1_2_1_1_1_1_1_2_1_1_2_3_1_2_2_1"/>
    <protectedRange sqref="D526" name="Range10_1_1_3_1_1_2_1_1_1_1_1_2_1_1_2_1"/>
    <protectedRange sqref="D191" name="Range10_1_1_3_1_1_2_1_1_1_1_1_2_1_1_2"/>
    <protectedRange sqref="D192" name="Range10_1_1_3_1_1_2_1_1_1_1_1_2_1_1_2_1_1"/>
    <protectedRange sqref="D250" name="Range10_1_1_3_1_1_2_1_1_1_1_1_2_1_1_2_1_2"/>
    <protectedRange sqref="D361:D362 F361:F362" name="Range10_1_1_3_1_1_2_1_1_1_1_1_2_1_1_2_5"/>
    <protectedRange sqref="D673" name="Range10_1_1_3_1_1_2_1_1_1_1_1_2_1_1_2_6"/>
    <protectedRange sqref="D461:E464" name="Range10_1_1_3_1_1_2_1_1_1_1_1_2_1_1_2_8_2_2_1_1"/>
  </protectedRanges>
  <autoFilter ref="A6:BH670"/>
  <mergeCells count="239">
    <mergeCell ref="BJ82:BJ84"/>
    <mergeCell ref="BC467:BC478"/>
    <mergeCell ref="B656:B670"/>
    <mergeCell ref="C656:C670"/>
    <mergeCell ref="D656:D670"/>
    <mergeCell ref="E656:E670"/>
    <mergeCell ref="F656:F670"/>
    <mergeCell ref="BC656:BC670"/>
    <mergeCell ref="B417:B432"/>
    <mergeCell ref="C417:C432"/>
    <mergeCell ref="A342:A343"/>
    <mergeCell ref="B342:B343"/>
    <mergeCell ref="C342:C343"/>
    <mergeCell ref="D342:D343"/>
    <mergeCell ref="E342:E343"/>
    <mergeCell ref="F342:F343"/>
    <mergeCell ref="A467:A478"/>
    <mergeCell ref="B467:B478"/>
    <mergeCell ref="C467:C478"/>
    <mergeCell ref="E467:E478"/>
    <mergeCell ref="A409:A411"/>
    <mergeCell ref="B409:B411"/>
    <mergeCell ref="C409:C411"/>
    <mergeCell ref="E409:E411"/>
    <mergeCell ref="A414:A416"/>
    <mergeCell ref="B414:B416"/>
    <mergeCell ref="C414:C416"/>
    <mergeCell ref="BC325:BC328"/>
    <mergeCell ref="A332:A334"/>
    <mergeCell ref="B332:B334"/>
    <mergeCell ref="C332:C334"/>
    <mergeCell ref="D332:D334"/>
    <mergeCell ref="E332:E334"/>
    <mergeCell ref="BC333:BC334"/>
    <mergeCell ref="BC345:BC347"/>
    <mergeCell ref="A348:A350"/>
    <mergeCell ref="B348:B350"/>
    <mergeCell ref="C348:C350"/>
    <mergeCell ref="D348:D350"/>
    <mergeCell ref="E348:E350"/>
    <mergeCell ref="BC349:BC350"/>
    <mergeCell ref="H342:H343"/>
    <mergeCell ref="AV342:AV343"/>
    <mergeCell ref="AX342:AX343"/>
    <mergeCell ref="AZ342:AZ343"/>
    <mergeCell ref="BC342:BC343"/>
    <mergeCell ref="A344:A347"/>
    <mergeCell ref="B344:B347"/>
    <mergeCell ref="C344:C347"/>
    <mergeCell ref="D344:D347"/>
    <mergeCell ref="E344:E347"/>
    <mergeCell ref="A325:A328"/>
    <mergeCell ref="B325:B328"/>
    <mergeCell ref="C325:C328"/>
    <mergeCell ref="D325:D328"/>
    <mergeCell ref="E325:E328"/>
    <mergeCell ref="F325:F328"/>
    <mergeCell ref="H325:H328"/>
    <mergeCell ref="AV325:AV328"/>
    <mergeCell ref="AX325:AX328"/>
    <mergeCell ref="BC292:BC293"/>
    <mergeCell ref="BH292:BH293"/>
    <mergeCell ref="A300:A302"/>
    <mergeCell ref="B300:B302"/>
    <mergeCell ref="C300:C302"/>
    <mergeCell ref="D300:D302"/>
    <mergeCell ref="E300:E302"/>
    <mergeCell ref="F300:F302"/>
    <mergeCell ref="AX301:AX302"/>
    <mergeCell ref="AY301:AY302"/>
    <mergeCell ref="A291:A293"/>
    <mergeCell ref="B291:B293"/>
    <mergeCell ref="C291:C293"/>
    <mergeCell ref="D291:D293"/>
    <mergeCell ref="E291:E293"/>
    <mergeCell ref="AZ292:AZ293"/>
    <mergeCell ref="AZ301:AZ302"/>
    <mergeCell ref="BB301:BB302"/>
    <mergeCell ref="BC301:BC302"/>
    <mergeCell ref="BH301:BH302"/>
    <mergeCell ref="G282:G284"/>
    <mergeCell ref="BB283:BB284"/>
    <mergeCell ref="BH283:BH284"/>
    <mergeCell ref="A287:A289"/>
    <mergeCell ref="B287:B289"/>
    <mergeCell ref="C287:C289"/>
    <mergeCell ref="D287:D289"/>
    <mergeCell ref="BB288:BB289"/>
    <mergeCell ref="A282:A284"/>
    <mergeCell ref="B282:B284"/>
    <mergeCell ref="C282:C284"/>
    <mergeCell ref="D282:D284"/>
    <mergeCell ref="E282:E284"/>
    <mergeCell ref="F282:F284"/>
    <mergeCell ref="BH213:BH217"/>
    <mergeCell ref="A219:A221"/>
    <mergeCell ref="B219:B221"/>
    <mergeCell ref="C219:C221"/>
    <mergeCell ref="D219:D221"/>
    <mergeCell ref="E219:E221"/>
    <mergeCell ref="F219:F221"/>
    <mergeCell ref="BB220:BB221"/>
    <mergeCell ref="BH220:BH221"/>
    <mergeCell ref="BB207:BB211"/>
    <mergeCell ref="A212:A217"/>
    <mergeCell ref="B212:B217"/>
    <mergeCell ref="C212:C217"/>
    <mergeCell ref="D212:D217"/>
    <mergeCell ref="E212:E217"/>
    <mergeCell ref="F212:F217"/>
    <mergeCell ref="BB213:BB217"/>
    <mergeCell ref="A206:A211"/>
    <mergeCell ref="B206:B211"/>
    <mergeCell ref="C206:C211"/>
    <mergeCell ref="D206:D211"/>
    <mergeCell ref="E206:E211"/>
    <mergeCell ref="F206:F211"/>
    <mergeCell ref="A203:A205"/>
    <mergeCell ref="B203:B205"/>
    <mergeCell ref="C203:C205"/>
    <mergeCell ref="D203:D205"/>
    <mergeCell ref="E203:E205"/>
    <mergeCell ref="BB204:BB205"/>
    <mergeCell ref="BC83:BC84"/>
    <mergeCell ref="A155:A157"/>
    <mergeCell ref="B155:B157"/>
    <mergeCell ref="C155:C157"/>
    <mergeCell ref="D155:D157"/>
    <mergeCell ref="E155:E157"/>
    <mergeCell ref="BB156:BB157"/>
    <mergeCell ref="A76:A81"/>
    <mergeCell ref="B76:B81"/>
    <mergeCell ref="C76:C81"/>
    <mergeCell ref="D76:D81"/>
    <mergeCell ref="BC77:BC81"/>
    <mergeCell ref="A82:A84"/>
    <mergeCell ref="B82:B84"/>
    <mergeCell ref="C82:C84"/>
    <mergeCell ref="D82:D84"/>
    <mergeCell ref="E82:E84"/>
    <mergeCell ref="BC67:BC71"/>
    <mergeCell ref="A72:A75"/>
    <mergeCell ref="B72:B75"/>
    <mergeCell ref="C72:C75"/>
    <mergeCell ref="D72:D75"/>
    <mergeCell ref="E72:E75"/>
    <mergeCell ref="BC73:BC75"/>
    <mergeCell ref="AW49:AW50"/>
    <mergeCell ref="AX49:AX50"/>
    <mergeCell ref="BB49:BB50"/>
    <mergeCell ref="A66:A71"/>
    <mergeCell ref="B66:B71"/>
    <mergeCell ref="C66:C71"/>
    <mergeCell ref="D66:D71"/>
    <mergeCell ref="E66:E71"/>
    <mergeCell ref="BH12:BH13"/>
    <mergeCell ref="A49:A50"/>
    <mergeCell ref="B49:B50"/>
    <mergeCell ref="C49:C50"/>
    <mergeCell ref="D49:D50"/>
    <mergeCell ref="E49:E50"/>
    <mergeCell ref="F49:F50"/>
    <mergeCell ref="H49:H50"/>
    <mergeCell ref="J49:J50"/>
    <mergeCell ref="AV49:AV50"/>
    <mergeCell ref="F11:F13"/>
    <mergeCell ref="AV12:AV13"/>
    <mergeCell ref="AX12:AX13"/>
    <mergeCell ref="BA12:BA13"/>
    <mergeCell ref="BB12:BB13"/>
    <mergeCell ref="BC12:BC13"/>
    <mergeCell ref="BD5:BD6"/>
    <mergeCell ref="BE5:BE6"/>
    <mergeCell ref="BF5:BF6"/>
    <mergeCell ref="BG5:BG6"/>
    <mergeCell ref="BH5:BH6"/>
    <mergeCell ref="A11:A13"/>
    <mergeCell ref="B11:B13"/>
    <mergeCell ref="C11:C13"/>
    <mergeCell ref="D11:D13"/>
    <mergeCell ref="E11:E13"/>
    <mergeCell ref="AX5:AX6"/>
    <mergeCell ref="AY5:AY6"/>
    <mergeCell ref="AZ5:AZ6"/>
    <mergeCell ref="BA5:BA6"/>
    <mergeCell ref="BB5:BB6"/>
    <mergeCell ref="BC5:BC6"/>
    <mergeCell ref="AR5:AR6"/>
    <mergeCell ref="AS5:AS6"/>
    <mergeCell ref="AT5:AT6"/>
    <mergeCell ref="AU5:AU6"/>
    <mergeCell ref="AV5:AV6"/>
    <mergeCell ref="AW5:AW6"/>
    <mergeCell ref="AL5:AL6"/>
    <mergeCell ref="AM5:AM6"/>
    <mergeCell ref="AN5:AN6"/>
    <mergeCell ref="AO5:AO6"/>
    <mergeCell ref="AP5:AP6"/>
    <mergeCell ref="AQ5:AQ6"/>
    <mergeCell ref="AF5:AF6"/>
    <mergeCell ref="AG5:AG6"/>
    <mergeCell ref="AH5:AH6"/>
    <mergeCell ref="AI5:AI6"/>
    <mergeCell ref="AJ5:AJ6"/>
    <mergeCell ref="AK5:AK6"/>
    <mergeCell ref="AB5:AB6"/>
    <mergeCell ref="AC5:AC6"/>
    <mergeCell ref="AD5:AD6"/>
    <mergeCell ref="AE5:AE6"/>
    <mergeCell ref="T5:T6"/>
    <mergeCell ref="U5:U6"/>
    <mergeCell ref="V5:V6"/>
    <mergeCell ref="W5:W6"/>
    <mergeCell ref="X5:X6"/>
    <mergeCell ref="Y5:Y6"/>
    <mergeCell ref="A1:B1"/>
    <mergeCell ref="A2:BH2"/>
    <mergeCell ref="A3:BH3"/>
    <mergeCell ref="A5:A6"/>
    <mergeCell ref="B5:B6"/>
    <mergeCell ref="C5:C6"/>
    <mergeCell ref="D5:D6"/>
    <mergeCell ref="E5:E6"/>
    <mergeCell ref="F5:F6"/>
    <mergeCell ref="G5:G6"/>
    <mergeCell ref="N5:N6"/>
    <mergeCell ref="O5:O6"/>
    <mergeCell ref="P5:P6"/>
    <mergeCell ref="Q5:Q6"/>
    <mergeCell ref="R5:R6"/>
    <mergeCell ref="S5:S6"/>
    <mergeCell ref="H5:H6"/>
    <mergeCell ref="I5:I6"/>
    <mergeCell ref="J5:J6"/>
    <mergeCell ref="K5:K6"/>
    <mergeCell ref="L5:L6"/>
    <mergeCell ref="M5:M6"/>
    <mergeCell ref="Z5:Z6"/>
    <mergeCell ref="AA5:AA6"/>
  </mergeCells>
  <printOptions horizontalCentered="1"/>
  <pageMargins left="7.874015748031496E-2" right="7.874015748031496E-2" top="0.59055118110236227" bottom="0.59055118110236227" header="7.874015748031496E-2" footer="7.874015748031496E-2"/>
  <pageSetup paperSize="9" scale="51" fitToWidth="0" fitToHeight="0" orientation="landscape" r:id="rId1"/>
  <rowBreaks count="25" manualBreakCount="25">
    <brk id="25" max="59" man="1"/>
    <brk id="42" max="59" man="1"/>
    <brk id="58" max="59" man="1"/>
    <brk id="75" max="59" man="1"/>
    <brk id="85" max="59" man="1"/>
    <brk id="97" max="59" man="1"/>
    <brk id="113" max="59" man="1"/>
    <brk id="149" max="59" man="1"/>
    <brk id="170" max="59" man="1"/>
    <brk id="188" max="59" man="1"/>
    <brk id="205" max="59" man="1"/>
    <brk id="237" max="59" man="1"/>
    <brk id="255" max="59" man="1"/>
    <brk id="272" max="59" man="1"/>
    <brk id="293" max="59" man="1"/>
    <brk id="313" max="59" man="1"/>
    <brk id="329" max="59" man="1"/>
    <brk id="347" max="59" man="1"/>
    <brk id="403" max="59" man="1"/>
    <brk id="416" max="59" man="1"/>
    <brk id="456" max="59" man="1"/>
    <brk id="465" max="59" man="1"/>
    <brk id="506" max="59" man="1"/>
    <brk id="523" max="59" man="1"/>
    <brk id="546" max="5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theme="2" tint="-0.499984740745262"/>
  </sheetPr>
  <dimension ref="A1:BS80"/>
  <sheetViews>
    <sheetView view="pageBreakPreview" zoomScale="85" zoomScaleNormal="60" zoomScaleSheetLayoutView="85" workbookViewId="0">
      <pane xSplit="4" ySplit="5" topLeftCell="BG20" activePane="bottomRight" state="frozen"/>
      <selection pane="topRight" activeCell="E1" sqref="E1"/>
      <selection pane="bottomLeft" activeCell="A6" sqref="A6"/>
      <selection pane="bottomRight" activeCell="BP24" sqref="BP24"/>
    </sheetView>
  </sheetViews>
  <sheetFormatPr defaultColWidth="9" defaultRowHeight="14"/>
  <cols>
    <col min="1" max="1" width="5" style="34" customWidth="1"/>
    <col min="2" max="2" width="41.6640625" style="34" customWidth="1"/>
    <col min="3" max="3" width="6.25" style="34" customWidth="1"/>
    <col min="4" max="4" width="9.6640625" style="34" customWidth="1"/>
    <col min="5" max="5" width="9.1640625" style="34" customWidth="1"/>
    <col min="6" max="6" width="8.1640625" style="34" customWidth="1"/>
    <col min="7" max="7" width="9.33203125" style="34" customWidth="1"/>
    <col min="8" max="8" width="7.83203125" style="34" customWidth="1"/>
    <col min="9" max="9" width="9.33203125" style="34" customWidth="1"/>
    <col min="10" max="10" width="7.58203125" style="34" customWidth="1"/>
    <col min="11" max="14" width="7.9140625" style="34" customWidth="1"/>
    <col min="15" max="16" width="8.4140625" style="34" hidden="1" customWidth="1"/>
    <col min="17" max="17" width="9.33203125" style="34" customWidth="1"/>
    <col min="18" max="20" width="7.9140625" style="34" customWidth="1"/>
    <col min="21" max="22" width="9.6640625" style="34" customWidth="1"/>
    <col min="23" max="24" width="7.75" style="34" customWidth="1"/>
    <col min="25" max="37" width="7.83203125" style="34" customWidth="1"/>
    <col min="38" max="38" width="9.33203125" style="34" customWidth="1"/>
    <col min="39" max="57" width="7.83203125" style="34" customWidth="1"/>
    <col min="58" max="58" width="7.83203125" style="73" customWidth="1"/>
    <col min="59" max="59" width="9.4140625" style="34" customWidth="1"/>
    <col min="60" max="66" width="7.83203125" style="34" customWidth="1"/>
    <col min="67" max="67" width="9" style="74" customWidth="1"/>
    <col min="68" max="68" width="9.25" style="131" customWidth="1"/>
    <col min="69" max="69" width="10" style="34" customWidth="1"/>
    <col min="70" max="16384" width="9" style="34"/>
  </cols>
  <sheetData>
    <row r="1" spans="1:70" s="58" customFormat="1" ht="21.75" customHeight="1">
      <c r="A1" s="637" t="s">
        <v>1773</v>
      </c>
      <c r="B1" s="637"/>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AH1" s="637"/>
      <c r="AI1" s="637"/>
      <c r="AJ1" s="637"/>
      <c r="AK1" s="637"/>
      <c r="AL1" s="637"/>
      <c r="AM1" s="637"/>
      <c r="AN1" s="637"/>
      <c r="AO1" s="637"/>
      <c r="AP1" s="637"/>
      <c r="AQ1" s="637"/>
      <c r="AR1" s="637"/>
      <c r="AS1" s="637"/>
      <c r="AT1" s="637"/>
      <c r="AU1" s="637"/>
      <c r="AV1" s="637"/>
      <c r="AW1" s="637"/>
      <c r="AX1" s="637"/>
      <c r="AY1" s="637"/>
      <c r="AZ1" s="637"/>
      <c r="BA1" s="637"/>
      <c r="BB1" s="637"/>
      <c r="BC1" s="637"/>
      <c r="BD1" s="637"/>
      <c r="BE1" s="637"/>
      <c r="BF1" s="637"/>
      <c r="BG1" s="637"/>
      <c r="BO1" s="59"/>
      <c r="BP1" s="128"/>
    </row>
    <row r="2" spans="1:70" s="60" customFormat="1" ht="21.75" customHeight="1">
      <c r="A2" s="638" t="s">
        <v>1774</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c r="AK2" s="638"/>
      <c r="AL2" s="638"/>
      <c r="AM2" s="638"/>
      <c r="AN2" s="638"/>
      <c r="AO2" s="638"/>
      <c r="AP2" s="638"/>
      <c r="AQ2" s="638"/>
      <c r="AR2" s="638"/>
      <c r="AS2" s="638"/>
      <c r="AT2" s="638"/>
      <c r="AU2" s="638"/>
      <c r="AV2" s="638"/>
      <c r="AW2" s="638"/>
      <c r="AX2" s="638"/>
      <c r="AY2" s="638"/>
      <c r="AZ2" s="638"/>
      <c r="BA2" s="638"/>
      <c r="BB2" s="638"/>
      <c r="BC2" s="638"/>
      <c r="BD2" s="638"/>
      <c r="BE2" s="638"/>
      <c r="BF2" s="638"/>
      <c r="BG2" s="638"/>
      <c r="BO2" s="61"/>
      <c r="BP2" s="129"/>
    </row>
    <row r="3" spans="1:70" s="60" customFormat="1" ht="21.75" customHeight="1">
      <c r="A3" s="639" t="s">
        <v>214</v>
      </c>
      <c r="B3" s="639"/>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c r="AL3" s="639"/>
      <c r="AM3" s="639"/>
      <c r="AN3" s="639"/>
      <c r="AO3" s="639"/>
      <c r="AP3" s="639"/>
      <c r="AQ3" s="639"/>
      <c r="AR3" s="639"/>
      <c r="AS3" s="639"/>
      <c r="AT3" s="639"/>
      <c r="AU3" s="639"/>
      <c r="AV3" s="639"/>
      <c r="AW3" s="639"/>
      <c r="AX3" s="639"/>
      <c r="AY3" s="639"/>
      <c r="AZ3" s="639"/>
      <c r="BA3" s="639"/>
      <c r="BB3" s="639"/>
      <c r="BC3" s="639"/>
      <c r="BD3" s="639"/>
      <c r="BE3" s="639"/>
      <c r="BF3" s="639"/>
      <c r="BG3" s="639"/>
      <c r="BO3" s="62"/>
      <c r="BP3" s="130"/>
    </row>
    <row r="4" spans="1:70" s="64" customFormat="1" ht="17" customHeight="1">
      <c r="A4" s="640" t="s">
        <v>1</v>
      </c>
      <c r="B4" s="641" t="s">
        <v>151</v>
      </c>
      <c r="C4" s="641" t="s">
        <v>134</v>
      </c>
      <c r="D4" s="640" t="s">
        <v>1777</v>
      </c>
      <c r="E4" s="642" t="s">
        <v>232</v>
      </c>
      <c r="F4" s="642"/>
      <c r="G4" s="642"/>
      <c r="H4" s="642"/>
      <c r="I4" s="642"/>
      <c r="J4" s="642"/>
      <c r="K4" s="642"/>
      <c r="L4" s="642"/>
      <c r="M4" s="642"/>
      <c r="N4" s="642"/>
      <c r="O4" s="642"/>
      <c r="P4" s="642"/>
      <c r="Q4" s="642"/>
      <c r="R4" s="642"/>
      <c r="S4" s="642"/>
      <c r="T4" s="642"/>
      <c r="U4" s="642"/>
      <c r="V4" s="642"/>
      <c r="W4" s="642"/>
      <c r="X4" s="642"/>
      <c r="Y4" s="642"/>
      <c r="Z4" s="642"/>
      <c r="AA4" s="642"/>
      <c r="AB4" s="642"/>
      <c r="AC4" s="642"/>
      <c r="AD4" s="642"/>
      <c r="AE4" s="642"/>
      <c r="AF4" s="642"/>
      <c r="AG4" s="642"/>
      <c r="AH4" s="642"/>
      <c r="AI4" s="642"/>
      <c r="AJ4" s="642"/>
      <c r="AK4" s="642"/>
      <c r="AL4" s="642"/>
      <c r="AM4" s="642"/>
      <c r="AN4" s="642"/>
      <c r="AO4" s="642"/>
      <c r="AP4" s="642"/>
      <c r="AQ4" s="642"/>
      <c r="AR4" s="642"/>
      <c r="AS4" s="642"/>
      <c r="AT4" s="642"/>
      <c r="AU4" s="642"/>
      <c r="AV4" s="642"/>
      <c r="AW4" s="642"/>
      <c r="AX4" s="642"/>
      <c r="AY4" s="642"/>
      <c r="AZ4" s="642"/>
      <c r="BA4" s="642"/>
      <c r="BB4" s="642"/>
      <c r="BC4" s="642"/>
      <c r="BD4" s="642"/>
      <c r="BE4" s="642"/>
      <c r="BF4" s="642"/>
      <c r="BG4" s="642"/>
      <c r="BH4" s="642"/>
      <c r="BI4" s="642"/>
      <c r="BJ4" s="642"/>
      <c r="BK4" s="642"/>
      <c r="BL4" s="642"/>
      <c r="BM4" s="642"/>
      <c r="BN4" s="642"/>
      <c r="BO4" s="642"/>
      <c r="BP4" s="642"/>
      <c r="BQ4" s="642"/>
      <c r="BR4" s="63"/>
    </row>
    <row r="5" spans="1:70" s="65" customFormat="1" ht="43" customHeight="1">
      <c r="A5" s="640"/>
      <c r="B5" s="641"/>
      <c r="C5" s="641"/>
      <c r="D5" s="640"/>
      <c r="E5" s="378" t="s">
        <v>4</v>
      </c>
      <c r="F5" s="378" t="s">
        <v>5</v>
      </c>
      <c r="G5" s="378" t="s">
        <v>7</v>
      </c>
      <c r="H5" s="378" t="s">
        <v>8</v>
      </c>
      <c r="I5" s="378" t="s">
        <v>11</v>
      </c>
      <c r="J5" s="378" t="s">
        <v>13</v>
      </c>
      <c r="K5" s="378" t="s">
        <v>15</v>
      </c>
      <c r="L5" s="378" t="s">
        <v>16</v>
      </c>
      <c r="M5" s="378" t="s">
        <v>17</v>
      </c>
      <c r="N5" s="378" t="s">
        <v>163</v>
      </c>
      <c r="O5" s="378" t="s">
        <v>164</v>
      </c>
      <c r="P5" s="378" t="s">
        <v>165</v>
      </c>
      <c r="Q5" s="378" t="s">
        <v>18</v>
      </c>
      <c r="R5" s="378" t="s">
        <v>1783</v>
      </c>
      <c r="S5" s="378" t="s">
        <v>19</v>
      </c>
      <c r="T5" s="378" t="s">
        <v>20</v>
      </c>
      <c r="U5" s="378" t="s">
        <v>22</v>
      </c>
      <c r="V5" s="378" t="s">
        <v>56</v>
      </c>
      <c r="W5" s="378" t="s">
        <v>55</v>
      </c>
      <c r="X5" s="378" t="s">
        <v>24</v>
      </c>
      <c r="Y5" s="378" t="s">
        <v>26</v>
      </c>
      <c r="Z5" s="378" t="s">
        <v>28</v>
      </c>
      <c r="AA5" s="378" t="s">
        <v>154</v>
      </c>
      <c r="AB5" s="378" t="s">
        <v>46</v>
      </c>
      <c r="AC5" s="378" t="s">
        <v>51</v>
      </c>
      <c r="AD5" s="378" t="s">
        <v>47</v>
      </c>
      <c r="AE5" s="378" t="s">
        <v>48</v>
      </c>
      <c r="AF5" s="378" t="s">
        <v>49</v>
      </c>
      <c r="AG5" s="378" t="s">
        <v>50</v>
      </c>
      <c r="AH5" s="378" t="s">
        <v>1812</v>
      </c>
      <c r="AI5" s="378" t="s">
        <v>1813</v>
      </c>
      <c r="AJ5" s="378" t="s">
        <v>98</v>
      </c>
      <c r="AK5" s="378" t="s">
        <v>116</v>
      </c>
      <c r="AL5" s="378" t="s">
        <v>155</v>
      </c>
      <c r="AM5" s="378" t="s">
        <v>30</v>
      </c>
      <c r="AN5" s="378" t="s">
        <v>87</v>
      </c>
      <c r="AO5" s="378" t="s">
        <v>1814</v>
      </c>
      <c r="AP5" s="378" t="s">
        <v>88</v>
      </c>
      <c r="AQ5" s="378" t="s">
        <v>32</v>
      </c>
      <c r="AR5" s="378" t="s">
        <v>34</v>
      </c>
      <c r="AS5" s="378" t="s">
        <v>156</v>
      </c>
      <c r="AT5" s="378" t="s">
        <v>42</v>
      </c>
      <c r="AU5" s="378" t="s">
        <v>43</v>
      </c>
      <c r="AV5" s="378" t="s">
        <v>1815</v>
      </c>
      <c r="AW5" s="378" t="s">
        <v>1816</v>
      </c>
      <c r="AX5" s="378" t="s">
        <v>1817</v>
      </c>
      <c r="AY5" s="378" t="s">
        <v>36</v>
      </c>
      <c r="AZ5" s="378" t="s">
        <v>44</v>
      </c>
      <c r="BA5" s="378" t="s">
        <v>45</v>
      </c>
      <c r="BB5" s="378" t="s">
        <v>52</v>
      </c>
      <c r="BC5" s="378" t="s">
        <v>101</v>
      </c>
      <c r="BD5" s="378" t="s">
        <v>37</v>
      </c>
      <c r="BE5" s="378" t="s">
        <v>38</v>
      </c>
      <c r="BF5" s="378" t="s">
        <v>39</v>
      </c>
      <c r="BG5" s="378" t="s">
        <v>1856</v>
      </c>
      <c r="BH5" s="378" t="s">
        <v>53</v>
      </c>
      <c r="BI5" s="378" t="s">
        <v>79</v>
      </c>
      <c r="BJ5" s="378" t="s">
        <v>1818</v>
      </c>
      <c r="BK5" s="378" t="s">
        <v>158</v>
      </c>
      <c r="BL5" s="378" t="s">
        <v>160</v>
      </c>
      <c r="BM5" s="378" t="s">
        <v>1857</v>
      </c>
      <c r="BN5" s="378" t="s">
        <v>1819</v>
      </c>
      <c r="BO5" s="379" t="s">
        <v>118</v>
      </c>
      <c r="BP5" s="380" t="s">
        <v>119</v>
      </c>
      <c r="BQ5" s="378" t="s">
        <v>1776</v>
      </c>
    </row>
    <row r="6" spans="1:70" s="64" customFormat="1" ht="16.5" customHeight="1">
      <c r="A6" s="381"/>
      <c r="B6" s="382" t="s">
        <v>137</v>
      </c>
      <c r="C6" s="381"/>
      <c r="D6" s="379">
        <f>'01CH'!D7</f>
        <v>21510.165000000001</v>
      </c>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c r="AO6" s="383"/>
      <c r="AP6" s="383"/>
      <c r="AQ6" s="383"/>
      <c r="AR6" s="383"/>
      <c r="AS6" s="383"/>
      <c r="AT6" s="383"/>
      <c r="AU6" s="383"/>
      <c r="AV6" s="383"/>
      <c r="AW6" s="383"/>
      <c r="AX6" s="383"/>
      <c r="AY6" s="383"/>
      <c r="AZ6" s="383"/>
      <c r="BA6" s="383"/>
      <c r="BB6" s="383"/>
      <c r="BC6" s="383"/>
      <c r="BD6" s="383"/>
      <c r="BE6" s="383"/>
      <c r="BF6" s="383"/>
      <c r="BG6" s="383"/>
      <c r="BH6" s="383"/>
      <c r="BI6" s="383"/>
      <c r="BJ6" s="383"/>
      <c r="BK6" s="383"/>
      <c r="BL6" s="383"/>
      <c r="BM6" s="383"/>
      <c r="BN6" s="383"/>
      <c r="BO6" s="383"/>
      <c r="BP6" s="307"/>
      <c r="BQ6" s="383">
        <f>BQ7+BQ24+BQ67</f>
        <v>21510.165000000001</v>
      </c>
    </row>
    <row r="7" spans="1:70" s="64" customFormat="1" ht="16.5" customHeight="1">
      <c r="A7" s="381">
        <v>1</v>
      </c>
      <c r="B7" s="384" t="s">
        <v>3</v>
      </c>
      <c r="C7" s="381" t="s">
        <v>4</v>
      </c>
      <c r="D7" s="379">
        <f>'01CH'!D8</f>
        <v>13048.259799999998</v>
      </c>
      <c r="E7" s="385">
        <f>F9+I13+J14+K15+L16+M17+Q23+S24+T25</f>
        <v>4247.0216354529739</v>
      </c>
      <c r="F7" s="383">
        <f>G7+H7</f>
        <v>0</v>
      </c>
      <c r="G7" s="383">
        <f>SUM(G10:G16)+SUM(G20:G23)-G10</f>
        <v>0</v>
      </c>
      <c r="H7" s="383">
        <f>SUM(H10:H16)+SUM(H20:H23)-H11</f>
        <v>0</v>
      </c>
      <c r="I7" s="383">
        <f>SUM(I10:I16)+SUM(I20:I23)-I12</f>
        <v>0</v>
      </c>
      <c r="J7" s="383">
        <f>SUM(J10:J16)+SUM(J20:J23)-J13</f>
        <v>0</v>
      </c>
      <c r="K7" s="383">
        <f>SUM(K10:K16)+SUM(K20:K23)-K14</f>
        <v>0</v>
      </c>
      <c r="L7" s="383">
        <f>SUM(L10:L16)+SUM(L20:L23)-L15</f>
        <v>0</v>
      </c>
      <c r="M7" s="383">
        <f>N7+O7+P7</f>
        <v>0</v>
      </c>
      <c r="N7" s="383">
        <f>SUM(N10:N16)+SUM(N20:N23)-N17</f>
        <v>0</v>
      </c>
      <c r="O7" s="383">
        <f t="shared" ref="O7:P7" si="0">SUM(O10:O16)+SUM(O20:O23)-O10</f>
        <v>0</v>
      </c>
      <c r="P7" s="383">
        <f t="shared" si="0"/>
        <v>0</v>
      </c>
      <c r="Q7" s="383">
        <f>SUM(Q10:Q16)+SUM(Q20:Q23)-Q20</f>
        <v>0</v>
      </c>
      <c r="R7" s="383">
        <f>SUM(R10:R16)+SUM(R20:R23)-R21</f>
        <v>0</v>
      </c>
      <c r="S7" s="383">
        <f>SUM(S10:S16)+SUM(S20:S23)-S22</f>
        <v>0</v>
      </c>
      <c r="T7" s="383">
        <f>SUM(T10:T16)+SUM(T20:T23)-T23</f>
        <v>0</v>
      </c>
      <c r="U7" s="383">
        <f>SUM(U10:U16)+SUM(U20:U23)</f>
        <v>4838.3422480490099</v>
      </c>
      <c r="V7" s="383">
        <f t="shared" ref="V7:BI7" si="1">SUM(V10:V16)+SUM(V20:V23)</f>
        <v>3074.5298401501295</v>
      </c>
      <c r="W7" s="383">
        <f t="shared" si="1"/>
        <v>164.20374286448958</v>
      </c>
      <c r="X7" s="383">
        <f t="shared" si="1"/>
        <v>1.0099999999999998</v>
      </c>
      <c r="Y7" s="383">
        <f t="shared" si="1"/>
        <v>5.1313599999999999</v>
      </c>
      <c r="Z7" s="383">
        <f t="shared" si="1"/>
        <v>2.6</v>
      </c>
      <c r="AA7" s="383">
        <f t="shared" si="1"/>
        <v>12.039000000000001</v>
      </c>
      <c r="AB7" s="383">
        <f t="shared" si="1"/>
        <v>3.5589999999999997</v>
      </c>
      <c r="AC7" s="383">
        <f t="shared" si="1"/>
        <v>0</v>
      </c>
      <c r="AD7" s="383">
        <f t="shared" si="1"/>
        <v>1.2800000000000002</v>
      </c>
      <c r="AE7" s="383">
        <f t="shared" si="1"/>
        <v>4.83</v>
      </c>
      <c r="AF7" s="383">
        <f t="shared" si="1"/>
        <v>2.37</v>
      </c>
      <c r="AG7" s="383">
        <f t="shared" si="1"/>
        <v>0</v>
      </c>
      <c r="AH7" s="383">
        <f t="shared" si="1"/>
        <v>0</v>
      </c>
      <c r="AI7" s="383">
        <f t="shared" si="1"/>
        <v>0</v>
      </c>
      <c r="AJ7" s="383">
        <f t="shared" si="1"/>
        <v>0</v>
      </c>
      <c r="AK7" s="383">
        <f t="shared" si="1"/>
        <v>0</v>
      </c>
      <c r="AL7" s="383">
        <f t="shared" si="1"/>
        <v>1319.8890050343898</v>
      </c>
      <c r="AM7" s="383">
        <f t="shared" si="1"/>
        <v>823.14683773976162</v>
      </c>
      <c r="AN7" s="383">
        <f t="shared" si="1"/>
        <v>289.64999999999998</v>
      </c>
      <c r="AO7" s="383">
        <f t="shared" si="1"/>
        <v>0</v>
      </c>
      <c r="AP7" s="383">
        <f t="shared" si="1"/>
        <v>194.48216729462828</v>
      </c>
      <c r="AQ7" s="383">
        <f t="shared" si="1"/>
        <v>12.61</v>
      </c>
      <c r="AR7" s="383">
        <f t="shared" si="1"/>
        <v>0</v>
      </c>
      <c r="AS7" s="383">
        <f t="shared" si="1"/>
        <v>231.12700000000004</v>
      </c>
      <c r="AT7" s="383">
        <f t="shared" si="1"/>
        <v>174.40000000000003</v>
      </c>
      <c r="AU7" s="383">
        <f t="shared" si="1"/>
        <v>0.26</v>
      </c>
      <c r="AV7" s="383">
        <f t="shared" si="1"/>
        <v>0</v>
      </c>
      <c r="AW7" s="383">
        <f t="shared" si="1"/>
        <v>0</v>
      </c>
      <c r="AX7" s="383">
        <f t="shared" si="1"/>
        <v>0.96699999999999997</v>
      </c>
      <c r="AY7" s="383">
        <f t="shared" si="1"/>
        <v>0</v>
      </c>
      <c r="AZ7" s="383">
        <f t="shared" si="1"/>
        <v>54.669999999999995</v>
      </c>
      <c r="BA7" s="383">
        <f t="shared" si="1"/>
        <v>0</v>
      </c>
      <c r="BB7" s="383">
        <f t="shared" si="1"/>
        <v>0</v>
      </c>
      <c r="BC7" s="383">
        <f t="shared" si="1"/>
        <v>0.83</v>
      </c>
      <c r="BD7" s="383">
        <f t="shared" si="1"/>
        <v>0.71</v>
      </c>
      <c r="BE7" s="383">
        <f t="shared" si="1"/>
        <v>0.38</v>
      </c>
      <c r="BF7" s="383">
        <f t="shared" si="1"/>
        <v>26.722300000000004</v>
      </c>
      <c r="BG7" s="383">
        <f t="shared" si="1"/>
        <v>0</v>
      </c>
      <c r="BH7" s="383">
        <f t="shared" si="1"/>
        <v>0</v>
      </c>
      <c r="BI7" s="383">
        <f t="shared" si="1"/>
        <v>0</v>
      </c>
      <c r="BJ7" s="383">
        <f>SUM(BJ10:BJ16)+SUM(BJ20:BJ23)-BJ68</f>
        <v>0</v>
      </c>
      <c r="BK7" s="383">
        <f>SUM(BK10:BK16)+SUM(BK20:BK23)-BK69</f>
        <v>0</v>
      </c>
      <c r="BL7" s="383">
        <f>SUM(BL10:BL16)+SUM(BL20:BL23)-BL70</f>
        <v>0</v>
      </c>
      <c r="BM7" s="383">
        <f>SUM(BM10:BM16)+SUM(BM20:BM23)-BM71</f>
        <v>0</v>
      </c>
      <c r="BN7" s="383">
        <f>SUM(BN10:BN16)+SUM(BN20:BN23)-BN72</f>
        <v>0</v>
      </c>
      <c r="BO7" s="383">
        <f>SUM(G7:M7)+SUM(Q7:T7)+SUM(V7:Z7)+SUM(AB7:AK7)+SUM(AM7:AR7)+SUM(AT7:BH7)+SUM(BJ7:BN7)</f>
        <v>4838.342248049009</v>
      </c>
      <c r="BP7" s="386">
        <f>E73-BO7</f>
        <v>-4838.342248049009</v>
      </c>
      <c r="BQ7" s="383">
        <f>D7+BP7</f>
        <v>8209.9175519509881</v>
      </c>
      <c r="BR7" s="63">
        <f>BQ7/$BQ$6*100</f>
        <v>38.167617737711389</v>
      </c>
    </row>
    <row r="8" spans="1:70" s="64" customFormat="1" ht="16.5" customHeight="1">
      <c r="A8" s="381"/>
      <c r="B8" s="387" t="s">
        <v>176</v>
      </c>
      <c r="C8" s="381"/>
      <c r="D8" s="379">
        <f>'01CH'!D9</f>
        <v>0</v>
      </c>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c r="AR8" s="307"/>
      <c r="AS8" s="307"/>
      <c r="AT8" s="307"/>
      <c r="AU8" s="307"/>
      <c r="AV8" s="307"/>
      <c r="AW8" s="307"/>
      <c r="AX8" s="307"/>
      <c r="AY8" s="307"/>
      <c r="AZ8" s="307"/>
      <c r="BA8" s="307"/>
      <c r="BB8" s="307"/>
      <c r="BC8" s="307"/>
      <c r="BD8" s="307"/>
      <c r="BE8" s="307"/>
      <c r="BF8" s="307"/>
      <c r="BG8" s="307"/>
      <c r="BH8" s="307"/>
      <c r="BI8" s="307"/>
      <c r="BJ8" s="307"/>
      <c r="BK8" s="307"/>
      <c r="BL8" s="307"/>
      <c r="BM8" s="307"/>
      <c r="BN8" s="307"/>
      <c r="BO8" s="307"/>
      <c r="BP8" s="308"/>
      <c r="BQ8" s="307"/>
      <c r="BR8" s="63"/>
    </row>
    <row r="9" spans="1:70" s="67" customFormat="1" ht="16.5" customHeight="1">
      <c r="A9" s="388" t="s">
        <v>6</v>
      </c>
      <c r="B9" s="389" t="s">
        <v>81</v>
      </c>
      <c r="C9" s="388" t="s">
        <v>5</v>
      </c>
      <c r="D9" s="390">
        <f>'01CH'!D10</f>
        <v>5482.4019999999982</v>
      </c>
      <c r="E9" s="307">
        <f>SUM(G9:L9)+SUM(N9:T9)</f>
        <v>0</v>
      </c>
      <c r="F9" s="391">
        <f>G10+H11</f>
        <v>4247.0216354529739</v>
      </c>
      <c r="G9" s="307">
        <f>SUM(G10+G11)-G10</f>
        <v>0</v>
      </c>
      <c r="H9" s="307">
        <f>SUM(H10+H11)-H11</f>
        <v>0</v>
      </c>
      <c r="I9" s="307">
        <f>SUM(I10+I11)</f>
        <v>0</v>
      </c>
      <c r="J9" s="307">
        <f t="shared" ref="J9:BN9" si="2">SUM(J10+J11)</f>
        <v>0</v>
      </c>
      <c r="K9" s="307">
        <f t="shared" si="2"/>
        <v>0</v>
      </c>
      <c r="L9" s="307">
        <f t="shared" si="2"/>
        <v>0</v>
      </c>
      <c r="M9" s="307">
        <f t="shared" si="2"/>
        <v>0</v>
      </c>
      <c r="N9" s="307">
        <f t="shared" si="2"/>
        <v>0</v>
      </c>
      <c r="O9" s="307">
        <f t="shared" si="2"/>
        <v>0</v>
      </c>
      <c r="P9" s="307">
        <f t="shared" si="2"/>
        <v>0</v>
      </c>
      <c r="Q9" s="307">
        <f t="shared" si="2"/>
        <v>0</v>
      </c>
      <c r="R9" s="307">
        <f t="shared" si="2"/>
        <v>0</v>
      </c>
      <c r="S9" s="307">
        <f t="shared" si="2"/>
        <v>0</v>
      </c>
      <c r="T9" s="307">
        <f t="shared" si="2"/>
        <v>0</v>
      </c>
      <c r="U9" s="307">
        <f t="shared" si="2"/>
        <v>1235.3803645470243</v>
      </c>
      <c r="V9" s="307">
        <f t="shared" si="2"/>
        <v>588.44008277912064</v>
      </c>
      <c r="W9" s="307">
        <f t="shared" si="2"/>
        <v>133.40129082026229</v>
      </c>
      <c r="X9" s="307">
        <f t="shared" si="2"/>
        <v>0.67999999999999994</v>
      </c>
      <c r="Y9" s="307">
        <f t="shared" si="2"/>
        <v>1.898622</v>
      </c>
      <c r="Z9" s="307">
        <f t="shared" si="2"/>
        <v>2.2200000000000002</v>
      </c>
      <c r="AA9" s="307">
        <f t="shared" si="2"/>
        <v>8.6640000000000015</v>
      </c>
      <c r="AB9" s="307">
        <f t="shared" si="2"/>
        <v>2.4139999999999997</v>
      </c>
      <c r="AC9" s="307">
        <f t="shared" si="2"/>
        <v>0</v>
      </c>
      <c r="AD9" s="307">
        <f t="shared" si="2"/>
        <v>1.2000000000000002</v>
      </c>
      <c r="AE9" s="307">
        <f t="shared" si="2"/>
        <v>3.02</v>
      </c>
      <c r="AF9" s="307">
        <f t="shared" si="2"/>
        <v>2.0300000000000002</v>
      </c>
      <c r="AG9" s="307">
        <f t="shared" si="2"/>
        <v>0</v>
      </c>
      <c r="AH9" s="307">
        <f t="shared" si="2"/>
        <v>0</v>
      </c>
      <c r="AI9" s="307">
        <f t="shared" si="2"/>
        <v>0</v>
      </c>
      <c r="AJ9" s="307">
        <f t="shared" si="2"/>
        <v>0</v>
      </c>
      <c r="AK9" s="307">
        <f t="shared" si="2"/>
        <v>0</v>
      </c>
      <c r="AL9" s="307">
        <f t="shared" si="2"/>
        <v>409.13806894764127</v>
      </c>
      <c r="AM9" s="307">
        <f t="shared" si="2"/>
        <v>226.86306894764132</v>
      </c>
      <c r="AN9" s="307">
        <f t="shared" si="2"/>
        <v>162.79999999999998</v>
      </c>
      <c r="AO9" s="307">
        <f t="shared" si="2"/>
        <v>0</v>
      </c>
      <c r="AP9" s="307">
        <f t="shared" si="2"/>
        <v>11.364999999999998</v>
      </c>
      <c r="AQ9" s="307">
        <f t="shared" si="2"/>
        <v>8.11</v>
      </c>
      <c r="AR9" s="307">
        <f t="shared" si="2"/>
        <v>0</v>
      </c>
      <c r="AS9" s="307">
        <f t="shared" si="2"/>
        <v>68.063000000000031</v>
      </c>
      <c r="AT9" s="307">
        <f t="shared" si="2"/>
        <v>51.846000000000011</v>
      </c>
      <c r="AU9" s="307">
        <f t="shared" si="2"/>
        <v>0.1</v>
      </c>
      <c r="AV9" s="307">
        <f t="shared" si="2"/>
        <v>0</v>
      </c>
      <c r="AW9" s="307">
        <f t="shared" si="2"/>
        <v>0</v>
      </c>
      <c r="AX9" s="307">
        <f t="shared" si="2"/>
        <v>0.96699999999999997</v>
      </c>
      <c r="AY9" s="307">
        <f t="shared" si="2"/>
        <v>0</v>
      </c>
      <c r="AZ9" s="307">
        <f t="shared" si="2"/>
        <v>14.77</v>
      </c>
      <c r="BA9" s="307">
        <f t="shared" si="2"/>
        <v>0</v>
      </c>
      <c r="BB9" s="307">
        <f t="shared" si="2"/>
        <v>0</v>
      </c>
      <c r="BC9" s="307">
        <f t="shared" si="2"/>
        <v>0.38</v>
      </c>
      <c r="BD9" s="307">
        <f t="shared" si="2"/>
        <v>0.47</v>
      </c>
      <c r="BE9" s="307">
        <f t="shared" si="2"/>
        <v>0.38</v>
      </c>
      <c r="BF9" s="307">
        <f t="shared" si="2"/>
        <v>22.025300000000001</v>
      </c>
      <c r="BG9" s="307">
        <f t="shared" si="2"/>
        <v>0</v>
      </c>
      <c r="BH9" s="307">
        <f t="shared" si="2"/>
        <v>0</v>
      </c>
      <c r="BI9" s="307">
        <f t="shared" si="2"/>
        <v>0</v>
      </c>
      <c r="BJ9" s="307">
        <f t="shared" si="2"/>
        <v>0</v>
      </c>
      <c r="BK9" s="307">
        <f t="shared" si="2"/>
        <v>0</v>
      </c>
      <c r="BL9" s="307">
        <f t="shared" si="2"/>
        <v>0</v>
      </c>
      <c r="BM9" s="307">
        <f t="shared" si="2"/>
        <v>0</v>
      </c>
      <c r="BN9" s="307">
        <f t="shared" si="2"/>
        <v>0</v>
      </c>
      <c r="BO9" s="307">
        <f>SUM(I9:M9)+SUM(Q9:U9)+BI9</f>
        <v>1235.3803645470243</v>
      </c>
      <c r="BP9" s="308">
        <f>BP10+BP11</f>
        <v>-1235.3803645470243</v>
      </c>
      <c r="BQ9" s="307">
        <f>D9+BP9</f>
        <v>4247.0216354529739</v>
      </c>
      <c r="BR9" s="69">
        <f t="shared" ref="BR9:BR26" si="3">BQ9/$BQ$6*100</f>
        <v>19.744254102434702</v>
      </c>
    </row>
    <row r="10" spans="1:70" s="66" customFormat="1" ht="16.5" customHeight="1">
      <c r="A10" s="388"/>
      <c r="B10" s="389" t="s">
        <v>1778</v>
      </c>
      <c r="C10" s="388" t="s">
        <v>7</v>
      </c>
      <c r="D10" s="390">
        <f>'01CH'!D11</f>
        <v>4865.6354999999985</v>
      </c>
      <c r="E10" s="307">
        <f>SUM(G10:L10)+SUM(N10:T10)-G10</f>
        <v>0</v>
      </c>
      <c r="F10" s="392">
        <f>H10</f>
        <v>0</v>
      </c>
      <c r="G10" s="393">
        <f>$D10-$BO10</f>
        <v>4143.3221354529742</v>
      </c>
      <c r="H10" s="392"/>
      <c r="I10" s="392"/>
      <c r="J10" s="392"/>
      <c r="K10" s="392"/>
      <c r="L10" s="392"/>
      <c r="M10" s="377">
        <f t="shared" ref="M10:M15" si="4">SUM(N10:P10)</f>
        <v>0</v>
      </c>
      <c r="N10" s="392"/>
      <c r="O10" s="392"/>
      <c r="P10" s="392"/>
      <c r="Q10" s="392"/>
      <c r="R10" s="392"/>
      <c r="S10" s="392"/>
      <c r="T10" s="392"/>
      <c r="U10" s="307">
        <f t="shared" ref="U10:U23" si="5">SUM(V10:AA10)+AL10+AS10+SUM(BD10:BH10)</f>
        <v>722.31336454702421</v>
      </c>
      <c r="V10" s="307">
        <v>353.0820827791207</v>
      </c>
      <c r="W10" s="307">
        <v>133.16129082026228</v>
      </c>
      <c r="X10" s="307">
        <v>0.67999999999999994</v>
      </c>
      <c r="Y10" s="307">
        <v>1.898622</v>
      </c>
      <c r="Z10" s="307">
        <v>2.2200000000000002</v>
      </c>
      <c r="AA10" s="377">
        <f t="shared" ref="AA10:AA23" si="6">SUM(AB10:AK10)</f>
        <v>8.6640000000000015</v>
      </c>
      <c r="AB10" s="307">
        <v>2.4139999999999997</v>
      </c>
      <c r="AC10" s="392"/>
      <c r="AD10" s="307">
        <v>1.2000000000000002</v>
      </c>
      <c r="AE10" s="307">
        <v>3.02</v>
      </c>
      <c r="AF10" s="307">
        <v>2.0300000000000002</v>
      </c>
      <c r="AG10" s="392"/>
      <c r="AH10" s="392"/>
      <c r="AI10" s="392"/>
      <c r="AJ10" s="392"/>
      <c r="AK10" s="392"/>
      <c r="AL10" s="377">
        <f t="shared" ref="AL10:AL23" si="7">SUM(AM10:AR10)</f>
        <v>139.58806894764126</v>
      </c>
      <c r="AM10" s="394">
        <v>4.913068947641265</v>
      </c>
      <c r="AN10" s="394">
        <v>116.65999999999998</v>
      </c>
      <c r="AO10" s="392"/>
      <c r="AP10" s="394">
        <v>9.9049999999999994</v>
      </c>
      <c r="AQ10" s="394">
        <v>8.11</v>
      </c>
      <c r="AR10" s="392"/>
      <c r="AS10" s="377">
        <f t="shared" ref="AS10:AS23" si="8">SUM(AT10:BC10)</f>
        <v>64.404000000000025</v>
      </c>
      <c r="AT10" s="307">
        <v>49.596000000000011</v>
      </c>
      <c r="AU10" s="307">
        <v>0.1</v>
      </c>
      <c r="AV10" s="392"/>
      <c r="AW10" s="392"/>
      <c r="AX10" s="392"/>
      <c r="AY10" s="392"/>
      <c r="AZ10" s="307">
        <v>14.528</v>
      </c>
      <c r="BA10" s="307">
        <v>0</v>
      </c>
      <c r="BB10" s="392"/>
      <c r="BC10" s="307">
        <v>0.18</v>
      </c>
      <c r="BD10" s="307">
        <v>0.47</v>
      </c>
      <c r="BE10" s="392">
        <v>0.38</v>
      </c>
      <c r="BF10" s="307">
        <v>17.7653</v>
      </c>
      <c r="BG10" s="392"/>
      <c r="BH10" s="392"/>
      <c r="BI10" s="307">
        <f t="shared" ref="BI10:BI23" si="9">SUM(BJ10:BN10)</f>
        <v>0</v>
      </c>
      <c r="BJ10" s="392"/>
      <c r="BK10" s="392"/>
      <c r="BL10" s="392"/>
      <c r="BM10" s="392"/>
      <c r="BN10" s="392"/>
      <c r="BO10" s="392">
        <f>SUM(H10:M10)+SUM(Q10:T10)+U10+BI10</f>
        <v>722.31336454702421</v>
      </c>
      <c r="BP10" s="308">
        <f>G73-BO10</f>
        <v>-722.31336454702421</v>
      </c>
      <c r="BQ10" s="307">
        <f>D10+BP10</f>
        <v>4143.3221354529742</v>
      </c>
      <c r="BR10" s="70">
        <f t="shared" si="3"/>
        <v>19.2621587768061</v>
      </c>
    </row>
    <row r="11" spans="1:70" s="67" customFormat="1" ht="16.5" customHeight="1">
      <c r="A11" s="388"/>
      <c r="B11" s="389" t="s">
        <v>1779</v>
      </c>
      <c r="C11" s="388" t="s">
        <v>8</v>
      </c>
      <c r="D11" s="390">
        <f>'01CH'!D12</f>
        <v>616.76649999999995</v>
      </c>
      <c r="E11" s="307">
        <f>SUM(G11:L11)+SUM(N11:T11)-H11</f>
        <v>0</v>
      </c>
      <c r="F11" s="307">
        <f>G11</f>
        <v>0</v>
      </c>
      <c r="G11" s="307"/>
      <c r="H11" s="393">
        <f>$D11-$BO11</f>
        <v>103.69949999999994</v>
      </c>
      <c r="I11" s="307"/>
      <c r="J11" s="307"/>
      <c r="K11" s="307"/>
      <c r="L11" s="307"/>
      <c r="M11" s="377">
        <f t="shared" si="4"/>
        <v>0</v>
      </c>
      <c r="N11" s="307"/>
      <c r="O11" s="307"/>
      <c r="P11" s="307"/>
      <c r="Q11" s="307"/>
      <c r="R11" s="307"/>
      <c r="S11" s="307"/>
      <c r="T11" s="307"/>
      <c r="U11" s="307">
        <f t="shared" si="5"/>
        <v>513.06700000000001</v>
      </c>
      <c r="V11" s="307">
        <v>235.35799999999998</v>
      </c>
      <c r="W11" s="307">
        <v>0.24</v>
      </c>
      <c r="X11" s="307">
        <v>0</v>
      </c>
      <c r="Y11" s="307"/>
      <c r="Z11" s="307"/>
      <c r="AA11" s="377">
        <f t="shared" si="6"/>
        <v>0</v>
      </c>
      <c r="AB11" s="307"/>
      <c r="AC11" s="307"/>
      <c r="AD11" s="307"/>
      <c r="AE11" s="307"/>
      <c r="AF11" s="307"/>
      <c r="AG11" s="307"/>
      <c r="AH11" s="307"/>
      <c r="AI11" s="307"/>
      <c r="AJ11" s="307"/>
      <c r="AK11" s="307"/>
      <c r="AL11" s="377">
        <f t="shared" si="7"/>
        <v>269.55</v>
      </c>
      <c r="AM11" s="307">
        <v>221.95000000000005</v>
      </c>
      <c r="AN11" s="307">
        <v>46.14</v>
      </c>
      <c r="AO11" s="307"/>
      <c r="AP11" s="307">
        <v>1.46</v>
      </c>
      <c r="AQ11" s="307">
        <v>0</v>
      </c>
      <c r="AR11" s="307"/>
      <c r="AS11" s="377">
        <f t="shared" si="8"/>
        <v>3.6590000000000003</v>
      </c>
      <c r="AT11" s="307">
        <v>2.25</v>
      </c>
      <c r="AU11" s="307">
        <v>0</v>
      </c>
      <c r="AV11" s="307"/>
      <c r="AW11" s="307"/>
      <c r="AX11" s="307">
        <v>0.96699999999999997</v>
      </c>
      <c r="AY11" s="307"/>
      <c r="AZ11" s="307">
        <v>0.24199999999999999</v>
      </c>
      <c r="BA11" s="307">
        <v>0</v>
      </c>
      <c r="BB11" s="307"/>
      <c r="BC11" s="307">
        <v>0.2</v>
      </c>
      <c r="BD11" s="307"/>
      <c r="BE11" s="307"/>
      <c r="BF11" s="307">
        <v>4.26</v>
      </c>
      <c r="BG11" s="307"/>
      <c r="BH11" s="307"/>
      <c r="BI11" s="307">
        <f t="shared" si="9"/>
        <v>0</v>
      </c>
      <c r="BJ11" s="307"/>
      <c r="BK11" s="307"/>
      <c r="BL11" s="307"/>
      <c r="BM11" s="307"/>
      <c r="BN11" s="307"/>
      <c r="BO11" s="307">
        <f>G11+SUM(I11:L11)+M11+SUM(Q11:T11)+U11+BI11</f>
        <v>513.06700000000001</v>
      </c>
      <c r="BP11" s="308">
        <f>H73-BO11</f>
        <v>-513.06700000000001</v>
      </c>
      <c r="BQ11" s="307">
        <f t="shared" ref="BQ11:BQ72" si="10">D11+BP11</f>
        <v>103.69949999999994</v>
      </c>
      <c r="BR11" s="69">
        <f t="shared" si="3"/>
        <v>0.48209532562860369</v>
      </c>
    </row>
    <row r="12" spans="1:70" s="67" customFormat="1" ht="16.5" customHeight="1">
      <c r="A12" s="388" t="s">
        <v>9</v>
      </c>
      <c r="B12" s="389" t="s">
        <v>1780</v>
      </c>
      <c r="C12" s="388" t="s">
        <v>11</v>
      </c>
      <c r="D12" s="390">
        <f>'01CH'!D13</f>
        <v>1746.8257999999998</v>
      </c>
      <c r="E12" s="307">
        <f>SUM(G12:L12)+SUM(N12:T12)-I12</f>
        <v>0</v>
      </c>
      <c r="F12" s="307">
        <f>SUM(G12:H12)</f>
        <v>0</v>
      </c>
      <c r="G12" s="307"/>
      <c r="H12" s="307"/>
      <c r="I12" s="393">
        <f>$D12-$BO12</f>
        <v>1340.4663581530322</v>
      </c>
      <c r="J12" s="307"/>
      <c r="K12" s="307"/>
      <c r="L12" s="307"/>
      <c r="M12" s="377">
        <f t="shared" si="4"/>
        <v>0</v>
      </c>
      <c r="N12" s="307"/>
      <c r="O12" s="307"/>
      <c r="P12" s="307"/>
      <c r="Q12" s="307"/>
      <c r="R12" s="307"/>
      <c r="S12" s="307"/>
      <c r="T12" s="307"/>
      <c r="U12" s="307">
        <f t="shared" si="5"/>
        <v>406.35944184696768</v>
      </c>
      <c r="V12" s="307">
        <v>168.58144711466315</v>
      </c>
      <c r="W12" s="307">
        <v>20.323912573926457</v>
      </c>
      <c r="X12" s="307">
        <v>0.32999999999999996</v>
      </c>
      <c r="Y12" s="307">
        <v>2.83</v>
      </c>
      <c r="Z12" s="307">
        <v>0.1</v>
      </c>
      <c r="AA12" s="377">
        <f t="shared" si="6"/>
        <v>2.1350000000000002</v>
      </c>
      <c r="AB12" s="307">
        <v>0.375</v>
      </c>
      <c r="AC12" s="307"/>
      <c r="AD12" s="307">
        <v>0</v>
      </c>
      <c r="AE12" s="307">
        <v>1.4200000000000002</v>
      </c>
      <c r="AF12" s="307">
        <v>0.34</v>
      </c>
      <c r="AG12" s="307"/>
      <c r="AH12" s="307"/>
      <c r="AI12" s="307"/>
      <c r="AJ12" s="307"/>
      <c r="AK12" s="307"/>
      <c r="AL12" s="377">
        <f t="shared" si="7"/>
        <v>172.93808215837802</v>
      </c>
      <c r="AM12" s="307">
        <v>152.95376879212026</v>
      </c>
      <c r="AN12" s="307">
        <v>8.0399999999999991</v>
      </c>
      <c r="AO12" s="307"/>
      <c r="AP12" s="307">
        <v>8.7943133662577644</v>
      </c>
      <c r="AQ12" s="307">
        <v>3.15</v>
      </c>
      <c r="AR12" s="307"/>
      <c r="AS12" s="377">
        <f t="shared" si="8"/>
        <v>35.054000000000002</v>
      </c>
      <c r="AT12" s="307">
        <v>32.473999999999997</v>
      </c>
      <c r="AU12" s="307">
        <v>0.1</v>
      </c>
      <c r="AV12" s="307"/>
      <c r="AW12" s="307"/>
      <c r="AX12" s="307"/>
      <c r="AY12" s="307"/>
      <c r="AZ12" s="307">
        <v>2.38</v>
      </c>
      <c r="BA12" s="307">
        <v>0</v>
      </c>
      <c r="BB12" s="307"/>
      <c r="BC12" s="307">
        <v>0.1</v>
      </c>
      <c r="BD12" s="307">
        <v>0.08</v>
      </c>
      <c r="BE12" s="307"/>
      <c r="BF12" s="307">
        <v>3.9870000000000001</v>
      </c>
      <c r="BG12" s="307"/>
      <c r="BH12" s="307"/>
      <c r="BI12" s="307">
        <f t="shared" si="9"/>
        <v>0</v>
      </c>
      <c r="BJ12" s="307"/>
      <c r="BK12" s="307"/>
      <c r="BL12" s="307"/>
      <c r="BM12" s="307"/>
      <c r="BN12" s="307"/>
      <c r="BO12" s="307">
        <f>F12+SUM(J12:M12)+SUM(Q12:T12)+U12+BI12</f>
        <v>406.35944184696768</v>
      </c>
      <c r="BP12" s="308">
        <f>I73-BO12</f>
        <v>-406.35944184696768</v>
      </c>
      <c r="BQ12" s="307">
        <f t="shared" si="10"/>
        <v>1340.4663581530322</v>
      </c>
      <c r="BR12" s="69">
        <f t="shared" si="3"/>
        <v>6.2317809191748745</v>
      </c>
    </row>
    <row r="13" spans="1:70" s="67" customFormat="1" ht="16.5" customHeight="1">
      <c r="A13" s="388" t="s">
        <v>10</v>
      </c>
      <c r="B13" s="389" t="s">
        <v>59</v>
      </c>
      <c r="C13" s="388" t="s">
        <v>13</v>
      </c>
      <c r="D13" s="390">
        <f>'01CH'!D14</f>
        <v>1171.1469999999999</v>
      </c>
      <c r="E13" s="307">
        <f>SUM(G13:L13)+SUM(N13:T13)-J13</f>
        <v>0</v>
      </c>
      <c r="F13" s="307">
        <f t="shared" ref="F13:F23" si="11">SUM(G13:H13)</f>
        <v>0</v>
      </c>
      <c r="G13" s="307"/>
      <c r="H13" s="307"/>
      <c r="I13" s="377"/>
      <c r="J13" s="393">
        <f>$D13-$BO13</f>
        <v>643.93813063075027</v>
      </c>
      <c r="K13" s="377"/>
      <c r="L13" s="377"/>
      <c r="M13" s="377">
        <f t="shared" si="4"/>
        <v>0</v>
      </c>
      <c r="N13" s="377"/>
      <c r="O13" s="377"/>
      <c r="P13" s="377"/>
      <c r="Q13" s="377"/>
      <c r="R13" s="377"/>
      <c r="S13" s="377"/>
      <c r="T13" s="377"/>
      <c r="U13" s="307">
        <f t="shared" si="5"/>
        <v>527.20886936924967</v>
      </c>
      <c r="V13" s="377">
        <v>373.84131025634616</v>
      </c>
      <c r="W13" s="377">
        <v>10.33853947030085</v>
      </c>
      <c r="X13" s="377">
        <v>0</v>
      </c>
      <c r="Y13" s="377">
        <v>0.40273799999999998</v>
      </c>
      <c r="Z13" s="377">
        <v>0.21000000000000002</v>
      </c>
      <c r="AA13" s="377">
        <f t="shared" si="6"/>
        <v>0.35</v>
      </c>
      <c r="AB13" s="377">
        <v>0.17</v>
      </c>
      <c r="AC13" s="377"/>
      <c r="AD13" s="377">
        <v>0.08</v>
      </c>
      <c r="AE13" s="377">
        <v>0.1</v>
      </c>
      <c r="AF13" s="377">
        <v>0</v>
      </c>
      <c r="AG13" s="377"/>
      <c r="AH13" s="377"/>
      <c r="AI13" s="377"/>
      <c r="AJ13" s="377"/>
      <c r="AK13" s="377"/>
      <c r="AL13" s="377">
        <f t="shared" si="7"/>
        <v>109.23628164260263</v>
      </c>
      <c r="AM13" s="377">
        <v>40.65</v>
      </c>
      <c r="AN13" s="377">
        <v>20.879999999999995</v>
      </c>
      <c r="AO13" s="377"/>
      <c r="AP13" s="377">
        <v>46.996281642602646</v>
      </c>
      <c r="AQ13" s="377">
        <v>0.71</v>
      </c>
      <c r="AR13" s="377"/>
      <c r="AS13" s="377">
        <f t="shared" si="8"/>
        <v>32.53</v>
      </c>
      <c r="AT13" s="377">
        <v>29.930000000000003</v>
      </c>
      <c r="AU13" s="377">
        <v>0.06</v>
      </c>
      <c r="AV13" s="377"/>
      <c r="AW13" s="377"/>
      <c r="AX13" s="377"/>
      <c r="AY13" s="377"/>
      <c r="AZ13" s="377">
        <v>2.54</v>
      </c>
      <c r="BA13" s="377">
        <v>0</v>
      </c>
      <c r="BB13" s="377"/>
      <c r="BC13" s="377"/>
      <c r="BD13" s="377"/>
      <c r="BE13" s="377"/>
      <c r="BF13" s="377">
        <v>0.3</v>
      </c>
      <c r="BG13" s="377"/>
      <c r="BH13" s="377"/>
      <c r="BI13" s="307">
        <f t="shared" si="9"/>
        <v>0</v>
      </c>
      <c r="BJ13" s="377"/>
      <c r="BK13" s="377"/>
      <c r="BL13" s="377"/>
      <c r="BM13" s="377"/>
      <c r="BN13" s="377"/>
      <c r="BO13" s="307">
        <f>F13+I13+SUM(K13:M13)+SUM(Q13:U13)+BI13</f>
        <v>527.20886936924967</v>
      </c>
      <c r="BP13" s="308">
        <f>J73-BO13</f>
        <v>-527.20886936924967</v>
      </c>
      <c r="BQ13" s="307">
        <f t="shared" si="10"/>
        <v>643.93813063075027</v>
      </c>
      <c r="BR13" s="69">
        <f t="shared" si="3"/>
        <v>2.9936457048597731</v>
      </c>
    </row>
    <row r="14" spans="1:70" s="67" customFormat="1" ht="16.5" customHeight="1">
      <c r="A14" s="388" t="s">
        <v>12</v>
      </c>
      <c r="B14" s="389" t="s">
        <v>60</v>
      </c>
      <c r="C14" s="388" t="s">
        <v>15</v>
      </c>
      <c r="D14" s="390">
        <f>'01CH'!D15</f>
        <v>0</v>
      </c>
      <c r="E14" s="307">
        <f>SUM(G14:L14)+SUM(N14:T14)-K14</f>
        <v>0</v>
      </c>
      <c r="F14" s="307">
        <f t="shared" si="11"/>
        <v>0</v>
      </c>
      <c r="G14" s="307"/>
      <c r="H14" s="307"/>
      <c r="I14" s="377"/>
      <c r="J14" s="377"/>
      <c r="K14" s="393">
        <f>$D14-$BO14</f>
        <v>0</v>
      </c>
      <c r="L14" s="377"/>
      <c r="M14" s="377">
        <f t="shared" si="4"/>
        <v>0</v>
      </c>
      <c r="N14" s="377"/>
      <c r="O14" s="377"/>
      <c r="P14" s="377"/>
      <c r="Q14" s="377"/>
      <c r="R14" s="377"/>
      <c r="S14" s="377"/>
      <c r="T14" s="377"/>
      <c r="U14" s="307">
        <f t="shared" si="5"/>
        <v>0</v>
      </c>
      <c r="V14" s="377"/>
      <c r="W14" s="377"/>
      <c r="X14" s="377"/>
      <c r="Y14" s="377"/>
      <c r="Z14" s="377"/>
      <c r="AA14" s="377">
        <f t="shared" si="6"/>
        <v>0</v>
      </c>
      <c r="AB14" s="377"/>
      <c r="AC14" s="377"/>
      <c r="AD14" s="377"/>
      <c r="AE14" s="377"/>
      <c r="AF14" s="377"/>
      <c r="AG14" s="377"/>
      <c r="AH14" s="377"/>
      <c r="AI14" s="377"/>
      <c r="AJ14" s="377"/>
      <c r="AK14" s="377"/>
      <c r="AL14" s="377">
        <f t="shared" si="7"/>
        <v>0</v>
      </c>
      <c r="AM14" s="377"/>
      <c r="AN14" s="377"/>
      <c r="AO14" s="377"/>
      <c r="AP14" s="377"/>
      <c r="AQ14" s="377"/>
      <c r="AR14" s="377"/>
      <c r="AS14" s="377">
        <f t="shared" si="8"/>
        <v>0</v>
      </c>
      <c r="AT14" s="377"/>
      <c r="AU14" s="377"/>
      <c r="AV14" s="377"/>
      <c r="AW14" s="377"/>
      <c r="AX14" s="377"/>
      <c r="AY14" s="377"/>
      <c r="AZ14" s="377"/>
      <c r="BA14" s="377"/>
      <c r="BB14" s="377"/>
      <c r="BC14" s="377"/>
      <c r="BD14" s="377"/>
      <c r="BE14" s="377"/>
      <c r="BF14" s="377"/>
      <c r="BG14" s="377"/>
      <c r="BH14" s="377"/>
      <c r="BI14" s="307">
        <f t="shared" si="9"/>
        <v>0</v>
      </c>
      <c r="BJ14" s="377"/>
      <c r="BK14" s="377"/>
      <c r="BL14" s="377"/>
      <c r="BM14" s="377"/>
      <c r="BN14" s="377"/>
      <c r="BO14" s="307">
        <f>F14+SUM(I14:J14)+L14+M14+SUM(Q14:U14)+BI14</f>
        <v>0</v>
      </c>
      <c r="BP14" s="307">
        <f>K14-BO14</f>
        <v>0</v>
      </c>
      <c r="BQ14" s="307">
        <f t="shared" si="10"/>
        <v>0</v>
      </c>
      <c r="BR14" s="69">
        <f t="shared" si="3"/>
        <v>0</v>
      </c>
    </row>
    <row r="15" spans="1:70" s="67" customFormat="1" ht="16.5" customHeight="1">
      <c r="A15" s="388" t="s">
        <v>14</v>
      </c>
      <c r="B15" s="389" t="s">
        <v>61</v>
      </c>
      <c r="C15" s="388" t="s">
        <v>16</v>
      </c>
      <c r="D15" s="390">
        <f>'01CH'!D16</f>
        <v>0</v>
      </c>
      <c r="E15" s="307">
        <f>SUM(G15:L15)+SUM(N15:T15)-L15</f>
        <v>0</v>
      </c>
      <c r="F15" s="307">
        <f t="shared" si="11"/>
        <v>0</v>
      </c>
      <c r="G15" s="307"/>
      <c r="H15" s="307"/>
      <c r="I15" s="377"/>
      <c r="J15" s="377"/>
      <c r="K15" s="377"/>
      <c r="L15" s="393">
        <f>$D15-$BO15</f>
        <v>0</v>
      </c>
      <c r="M15" s="377">
        <f t="shared" si="4"/>
        <v>0</v>
      </c>
      <c r="N15" s="377"/>
      <c r="O15" s="377"/>
      <c r="P15" s="377"/>
      <c r="Q15" s="377"/>
      <c r="R15" s="377"/>
      <c r="S15" s="377"/>
      <c r="T15" s="377"/>
      <c r="U15" s="307">
        <f t="shared" si="5"/>
        <v>0</v>
      </c>
      <c r="V15" s="377"/>
      <c r="W15" s="377"/>
      <c r="X15" s="377"/>
      <c r="Y15" s="377"/>
      <c r="Z15" s="377"/>
      <c r="AA15" s="377">
        <f t="shared" si="6"/>
        <v>0</v>
      </c>
      <c r="AB15" s="377"/>
      <c r="AC15" s="377"/>
      <c r="AD15" s="377"/>
      <c r="AE15" s="377"/>
      <c r="AF15" s="377"/>
      <c r="AG15" s="377"/>
      <c r="AH15" s="377"/>
      <c r="AI15" s="377"/>
      <c r="AJ15" s="377"/>
      <c r="AK15" s="377"/>
      <c r="AL15" s="377">
        <f t="shared" si="7"/>
        <v>0</v>
      </c>
      <c r="AM15" s="377"/>
      <c r="AN15" s="377"/>
      <c r="AO15" s="377"/>
      <c r="AP15" s="377"/>
      <c r="AQ15" s="377"/>
      <c r="AR15" s="377"/>
      <c r="AS15" s="377">
        <f t="shared" si="8"/>
        <v>0</v>
      </c>
      <c r="AT15" s="377"/>
      <c r="AU15" s="377"/>
      <c r="AV15" s="377"/>
      <c r="AW15" s="377"/>
      <c r="AX15" s="377"/>
      <c r="AY15" s="377"/>
      <c r="AZ15" s="377"/>
      <c r="BA15" s="377"/>
      <c r="BB15" s="377"/>
      <c r="BC15" s="377"/>
      <c r="BD15" s="377"/>
      <c r="BE15" s="377"/>
      <c r="BF15" s="377"/>
      <c r="BG15" s="377"/>
      <c r="BH15" s="377"/>
      <c r="BI15" s="307">
        <f t="shared" si="9"/>
        <v>0</v>
      </c>
      <c r="BJ15" s="377"/>
      <c r="BK15" s="377"/>
      <c r="BL15" s="377"/>
      <c r="BM15" s="377"/>
      <c r="BN15" s="377"/>
      <c r="BO15" s="307">
        <f>F15+SUM(I15:K15)+M15+SUM(Q15:U15)+BI15</f>
        <v>0</v>
      </c>
      <c r="BP15" s="307">
        <f>L15-BO15</f>
        <v>0</v>
      </c>
      <c r="BQ15" s="307">
        <f t="shared" si="10"/>
        <v>0</v>
      </c>
      <c r="BR15" s="69">
        <f t="shared" si="3"/>
        <v>0</v>
      </c>
    </row>
    <row r="16" spans="1:70" s="67" customFormat="1" ht="16.5" customHeight="1">
      <c r="A16" s="388" t="s">
        <v>63</v>
      </c>
      <c r="B16" s="389" t="s">
        <v>62</v>
      </c>
      <c r="C16" s="388" t="s">
        <v>17</v>
      </c>
      <c r="D16" s="390">
        <f>'01CH'!D17</f>
        <v>0</v>
      </c>
      <c r="E16" s="307">
        <f>SUM(G16:L16)+SUM(N16:T16)-M16</f>
        <v>0</v>
      </c>
      <c r="F16" s="307">
        <f t="shared" si="11"/>
        <v>0</v>
      </c>
      <c r="G16" s="307"/>
      <c r="H16" s="307"/>
      <c r="I16" s="377"/>
      <c r="J16" s="377"/>
      <c r="K16" s="377"/>
      <c r="L16" s="377"/>
      <c r="M16" s="393">
        <f>N16+O16+P16</f>
        <v>0</v>
      </c>
      <c r="N16" s="377"/>
      <c r="O16" s="377"/>
      <c r="P16" s="377"/>
      <c r="Q16" s="377"/>
      <c r="R16" s="377"/>
      <c r="S16" s="377"/>
      <c r="T16" s="377"/>
      <c r="U16" s="307">
        <f t="shared" si="5"/>
        <v>0</v>
      </c>
      <c r="V16" s="377"/>
      <c r="W16" s="377"/>
      <c r="X16" s="377"/>
      <c r="Y16" s="377"/>
      <c r="Z16" s="377"/>
      <c r="AA16" s="377">
        <f t="shared" si="6"/>
        <v>0</v>
      </c>
      <c r="AB16" s="377"/>
      <c r="AC16" s="377"/>
      <c r="AD16" s="377"/>
      <c r="AE16" s="377"/>
      <c r="AF16" s="377"/>
      <c r="AG16" s="377"/>
      <c r="AH16" s="377"/>
      <c r="AI16" s="377"/>
      <c r="AJ16" s="377"/>
      <c r="AK16" s="377"/>
      <c r="AL16" s="377">
        <f t="shared" si="7"/>
        <v>0</v>
      </c>
      <c r="AM16" s="377"/>
      <c r="AN16" s="377"/>
      <c r="AO16" s="377"/>
      <c r="AP16" s="377"/>
      <c r="AQ16" s="377"/>
      <c r="AR16" s="377"/>
      <c r="AS16" s="377">
        <f t="shared" si="8"/>
        <v>0</v>
      </c>
      <c r="AT16" s="377"/>
      <c r="AU16" s="377"/>
      <c r="AV16" s="377"/>
      <c r="AW16" s="377"/>
      <c r="AX16" s="377"/>
      <c r="AY16" s="377"/>
      <c r="AZ16" s="377"/>
      <c r="BA16" s="377"/>
      <c r="BB16" s="377"/>
      <c r="BC16" s="377"/>
      <c r="BD16" s="377"/>
      <c r="BE16" s="377"/>
      <c r="BF16" s="377"/>
      <c r="BG16" s="377"/>
      <c r="BH16" s="377"/>
      <c r="BI16" s="307">
        <f t="shared" si="9"/>
        <v>0</v>
      </c>
      <c r="BJ16" s="377"/>
      <c r="BK16" s="377"/>
      <c r="BL16" s="377"/>
      <c r="BM16" s="377"/>
      <c r="BN16" s="377"/>
      <c r="BO16" s="307">
        <f>F16+SUM(I16:L16)+SUM(Q16:U16)+BI16</f>
        <v>0</v>
      </c>
      <c r="BP16" s="307">
        <f>BP17+BP18+BP19</f>
        <v>0</v>
      </c>
      <c r="BQ16" s="307">
        <f t="shared" si="10"/>
        <v>0</v>
      </c>
      <c r="BR16" s="69">
        <f t="shared" si="3"/>
        <v>0</v>
      </c>
    </row>
    <row r="17" spans="1:71" s="67" customFormat="1" ht="16.5" customHeight="1">
      <c r="A17" s="395"/>
      <c r="B17" s="387" t="s">
        <v>177</v>
      </c>
      <c r="C17" s="395" t="s">
        <v>163</v>
      </c>
      <c r="D17" s="390">
        <f>'01CH'!D18</f>
        <v>0</v>
      </c>
      <c r="E17" s="307">
        <f>SUM(G17:L17)+SUM(N17:T17)-N17</f>
        <v>0</v>
      </c>
      <c r="F17" s="307">
        <f t="shared" si="11"/>
        <v>0</v>
      </c>
      <c r="G17" s="307"/>
      <c r="H17" s="307"/>
      <c r="I17" s="377"/>
      <c r="J17" s="377"/>
      <c r="K17" s="377"/>
      <c r="L17" s="377"/>
      <c r="M17" s="377">
        <f>O17+P17</f>
        <v>0</v>
      </c>
      <c r="N17" s="393">
        <f>$D17-$BO17</f>
        <v>0</v>
      </c>
      <c r="O17" s="377"/>
      <c r="P17" s="377"/>
      <c r="Q17" s="377"/>
      <c r="R17" s="377"/>
      <c r="S17" s="377"/>
      <c r="T17" s="377"/>
      <c r="U17" s="307">
        <f t="shared" si="5"/>
        <v>0</v>
      </c>
      <c r="V17" s="377"/>
      <c r="W17" s="377"/>
      <c r="X17" s="377"/>
      <c r="Y17" s="377"/>
      <c r="Z17" s="377"/>
      <c r="AA17" s="377">
        <f t="shared" si="6"/>
        <v>0</v>
      </c>
      <c r="AB17" s="377"/>
      <c r="AC17" s="377"/>
      <c r="AD17" s="377"/>
      <c r="AE17" s="377"/>
      <c r="AF17" s="377"/>
      <c r="AG17" s="377"/>
      <c r="AH17" s="377"/>
      <c r="AI17" s="377"/>
      <c r="AJ17" s="377"/>
      <c r="AK17" s="377"/>
      <c r="AL17" s="377">
        <f t="shared" si="7"/>
        <v>0</v>
      </c>
      <c r="AM17" s="377"/>
      <c r="AN17" s="377"/>
      <c r="AO17" s="377"/>
      <c r="AP17" s="377"/>
      <c r="AQ17" s="377"/>
      <c r="AR17" s="377"/>
      <c r="AS17" s="377">
        <f t="shared" si="8"/>
        <v>0</v>
      </c>
      <c r="AT17" s="377"/>
      <c r="AU17" s="377"/>
      <c r="AV17" s="377"/>
      <c r="AW17" s="377"/>
      <c r="AX17" s="377"/>
      <c r="AY17" s="377"/>
      <c r="AZ17" s="377"/>
      <c r="BA17" s="377"/>
      <c r="BB17" s="377"/>
      <c r="BC17" s="377"/>
      <c r="BD17" s="377"/>
      <c r="BE17" s="377"/>
      <c r="BF17" s="377"/>
      <c r="BG17" s="377"/>
      <c r="BH17" s="377"/>
      <c r="BI17" s="307">
        <f t="shared" si="9"/>
        <v>0</v>
      </c>
      <c r="BJ17" s="377"/>
      <c r="BK17" s="377"/>
      <c r="BL17" s="377"/>
      <c r="BM17" s="377"/>
      <c r="BN17" s="377"/>
      <c r="BO17" s="307">
        <f>F17+SUM(I17:M17)+SUM(Q17:U17)+BI17</f>
        <v>0</v>
      </c>
      <c r="BP17" s="307">
        <f>N16-BO17</f>
        <v>0</v>
      </c>
      <c r="BQ17" s="307">
        <f t="shared" si="10"/>
        <v>0</v>
      </c>
      <c r="BR17" s="69">
        <f t="shared" si="3"/>
        <v>0</v>
      </c>
    </row>
    <row r="18" spans="1:71" s="67" customFormat="1" ht="16.5" hidden="1" customHeight="1">
      <c r="A18" s="395"/>
      <c r="B18" s="387"/>
      <c r="C18" s="388" t="s">
        <v>164</v>
      </c>
      <c r="D18" s="390"/>
      <c r="E18" s="307">
        <f t="shared" ref="E18:E19" si="12">SUM(G18:L18)+SUM(N18:T18)</f>
        <v>0</v>
      </c>
      <c r="F18" s="307">
        <f t="shared" si="11"/>
        <v>0</v>
      </c>
      <c r="G18" s="307"/>
      <c r="H18" s="307"/>
      <c r="I18" s="377"/>
      <c r="J18" s="377"/>
      <c r="K18" s="377"/>
      <c r="L18" s="377"/>
      <c r="M18" s="377"/>
      <c r="N18" s="396"/>
      <c r="O18" s="377"/>
      <c r="P18" s="377"/>
      <c r="Q18" s="377"/>
      <c r="R18" s="377"/>
      <c r="S18" s="377"/>
      <c r="T18" s="377"/>
      <c r="U18" s="307">
        <f t="shared" si="5"/>
        <v>0</v>
      </c>
      <c r="V18" s="377"/>
      <c r="W18" s="377"/>
      <c r="X18" s="377"/>
      <c r="Y18" s="377"/>
      <c r="Z18" s="377"/>
      <c r="AA18" s="377">
        <f t="shared" si="6"/>
        <v>0</v>
      </c>
      <c r="AB18" s="377"/>
      <c r="AC18" s="377"/>
      <c r="AD18" s="377"/>
      <c r="AE18" s="377"/>
      <c r="AF18" s="377"/>
      <c r="AG18" s="377"/>
      <c r="AH18" s="377"/>
      <c r="AI18" s="377"/>
      <c r="AJ18" s="377"/>
      <c r="AK18" s="377"/>
      <c r="AL18" s="377">
        <f t="shared" si="7"/>
        <v>0</v>
      </c>
      <c r="AM18" s="377"/>
      <c r="AN18" s="377"/>
      <c r="AO18" s="377"/>
      <c r="AP18" s="377"/>
      <c r="AQ18" s="377"/>
      <c r="AR18" s="377"/>
      <c r="AS18" s="377">
        <f t="shared" si="8"/>
        <v>0</v>
      </c>
      <c r="AT18" s="377"/>
      <c r="AU18" s="377"/>
      <c r="AV18" s="377"/>
      <c r="AW18" s="377"/>
      <c r="AX18" s="377"/>
      <c r="AY18" s="377"/>
      <c r="AZ18" s="377"/>
      <c r="BA18" s="377"/>
      <c r="BB18" s="377"/>
      <c r="BC18" s="377"/>
      <c r="BD18" s="377"/>
      <c r="BE18" s="377"/>
      <c r="BF18" s="377"/>
      <c r="BG18" s="377"/>
      <c r="BH18" s="377"/>
      <c r="BI18" s="307">
        <f t="shared" si="9"/>
        <v>0</v>
      </c>
      <c r="BJ18" s="377"/>
      <c r="BK18" s="377"/>
      <c r="BL18" s="377"/>
      <c r="BM18" s="377"/>
      <c r="BN18" s="377"/>
      <c r="BO18" s="307"/>
      <c r="BP18" s="307">
        <f t="shared" ref="BP18:BP19" si="13">M17-BO18</f>
        <v>0</v>
      </c>
      <c r="BQ18" s="307">
        <f t="shared" si="10"/>
        <v>0</v>
      </c>
      <c r="BR18" s="69"/>
    </row>
    <row r="19" spans="1:71" s="67" customFormat="1" ht="16.5" hidden="1" customHeight="1">
      <c r="A19" s="395"/>
      <c r="B19" s="387"/>
      <c r="C19" s="388" t="s">
        <v>165</v>
      </c>
      <c r="D19" s="390"/>
      <c r="E19" s="307">
        <f t="shared" si="12"/>
        <v>0</v>
      </c>
      <c r="F19" s="307">
        <f t="shared" si="11"/>
        <v>0</v>
      </c>
      <c r="G19" s="307"/>
      <c r="H19" s="307"/>
      <c r="I19" s="377"/>
      <c r="J19" s="377"/>
      <c r="K19" s="377"/>
      <c r="L19" s="377"/>
      <c r="M19" s="377"/>
      <c r="N19" s="396"/>
      <c r="O19" s="377"/>
      <c r="P19" s="377"/>
      <c r="Q19" s="377"/>
      <c r="R19" s="377"/>
      <c r="S19" s="377"/>
      <c r="T19" s="377"/>
      <c r="U19" s="307">
        <f t="shared" si="5"/>
        <v>0</v>
      </c>
      <c r="V19" s="377"/>
      <c r="W19" s="377"/>
      <c r="X19" s="377"/>
      <c r="Y19" s="377"/>
      <c r="Z19" s="377"/>
      <c r="AA19" s="377">
        <f t="shared" si="6"/>
        <v>0</v>
      </c>
      <c r="AB19" s="377"/>
      <c r="AC19" s="377"/>
      <c r="AD19" s="377"/>
      <c r="AE19" s="377"/>
      <c r="AF19" s="377"/>
      <c r="AG19" s="377"/>
      <c r="AH19" s="377"/>
      <c r="AI19" s="377"/>
      <c r="AJ19" s="377"/>
      <c r="AK19" s="377"/>
      <c r="AL19" s="377">
        <f t="shared" si="7"/>
        <v>0</v>
      </c>
      <c r="AM19" s="377"/>
      <c r="AN19" s="377"/>
      <c r="AO19" s="377"/>
      <c r="AP19" s="377"/>
      <c r="AQ19" s="377"/>
      <c r="AR19" s="377"/>
      <c r="AS19" s="377">
        <f t="shared" si="8"/>
        <v>0</v>
      </c>
      <c r="AT19" s="377"/>
      <c r="AU19" s="377"/>
      <c r="AV19" s="377"/>
      <c r="AW19" s="377"/>
      <c r="AX19" s="377"/>
      <c r="AY19" s="377"/>
      <c r="AZ19" s="377"/>
      <c r="BA19" s="377"/>
      <c r="BB19" s="377"/>
      <c r="BC19" s="377"/>
      <c r="BD19" s="377"/>
      <c r="BE19" s="377"/>
      <c r="BF19" s="377"/>
      <c r="BG19" s="377"/>
      <c r="BH19" s="377"/>
      <c r="BI19" s="307">
        <f t="shared" si="9"/>
        <v>0</v>
      </c>
      <c r="BJ19" s="377"/>
      <c r="BK19" s="377"/>
      <c r="BL19" s="377"/>
      <c r="BM19" s="377"/>
      <c r="BN19" s="377"/>
      <c r="BO19" s="307"/>
      <c r="BP19" s="307">
        <f t="shared" si="13"/>
        <v>0</v>
      </c>
      <c r="BQ19" s="307">
        <f t="shared" si="10"/>
        <v>0</v>
      </c>
      <c r="BR19" s="69"/>
    </row>
    <row r="20" spans="1:71" s="67" customFormat="1" ht="16.5" customHeight="1">
      <c r="A20" s="388" t="s">
        <v>63</v>
      </c>
      <c r="B20" s="389" t="s">
        <v>71</v>
      </c>
      <c r="C20" s="388" t="s">
        <v>18</v>
      </c>
      <c r="D20" s="390">
        <f>'01CH'!D19</f>
        <v>4619.2620000000006</v>
      </c>
      <c r="E20" s="307">
        <f>SUM(G20:L20)+SUM(N20:T20)-Q20</f>
        <v>0</v>
      </c>
      <c r="F20" s="307">
        <f t="shared" si="11"/>
        <v>0</v>
      </c>
      <c r="G20" s="307"/>
      <c r="H20" s="307"/>
      <c r="I20" s="377"/>
      <c r="J20" s="377"/>
      <c r="K20" s="377"/>
      <c r="L20" s="377"/>
      <c r="M20" s="377">
        <f>SUM(N20:P20)</f>
        <v>0</v>
      </c>
      <c r="N20" s="377"/>
      <c r="O20" s="377"/>
      <c r="P20" s="377"/>
      <c r="Q20" s="393">
        <f>$D20-$BO20</f>
        <v>1950.6084277142327</v>
      </c>
      <c r="R20" s="377"/>
      <c r="S20" s="377"/>
      <c r="T20" s="377"/>
      <c r="U20" s="307">
        <f t="shared" si="5"/>
        <v>2668.653572285768</v>
      </c>
      <c r="V20" s="377">
        <v>1942.9469999999997</v>
      </c>
      <c r="W20" s="377">
        <v>0.14000000000000001</v>
      </c>
      <c r="X20" s="377">
        <v>0</v>
      </c>
      <c r="Y20" s="377">
        <v>0</v>
      </c>
      <c r="Z20" s="377">
        <v>7.0000000000000007E-2</v>
      </c>
      <c r="AA20" s="377">
        <f t="shared" si="6"/>
        <v>0.8899999999999999</v>
      </c>
      <c r="AB20" s="377">
        <v>0.6</v>
      </c>
      <c r="AC20" s="377"/>
      <c r="AD20" s="377">
        <v>0</v>
      </c>
      <c r="AE20" s="377">
        <v>0.28999999999999998</v>
      </c>
      <c r="AF20" s="377">
        <v>0</v>
      </c>
      <c r="AG20" s="377"/>
      <c r="AH20" s="377"/>
      <c r="AI20" s="377"/>
      <c r="AJ20" s="377"/>
      <c r="AK20" s="377"/>
      <c r="AL20" s="377">
        <f t="shared" si="7"/>
        <v>628.57657228576784</v>
      </c>
      <c r="AM20" s="377">
        <v>402.68</v>
      </c>
      <c r="AN20" s="377">
        <v>97.93</v>
      </c>
      <c r="AO20" s="377"/>
      <c r="AP20" s="377">
        <v>127.32657228576787</v>
      </c>
      <c r="AQ20" s="377">
        <v>0.64</v>
      </c>
      <c r="AR20" s="377"/>
      <c r="AS20" s="377">
        <f t="shared" si="8"/>
        <v>95.46</v>
      </c>
      <c r="AT20" s="377">
        <v>60.13</v>
      </c>
      <c r="AU20" s="377"/>
      <c r="AV20" s="377"/>
      <c r="AW20" s="377"/>
      <c r="AX20" s="377"/>
      <c r="AY20" s="377"/>
      <c r="AZ20" s="377">
        <v>34.979999999999997</v>
      </c>
      <c r="BA20" s="377">
        <v>0</v>
      </c>
      <c r="BB20" s="377"/>
      <c r="BC20" s="377">
        <v>0.35</v>
      </c>
      <c r="BD20" s="377">
        <v>0.16</v>
      </c>
      <c r="BE20" s="377"/>
      <c r="BF20" s="377">
        <v>0.41000000000000003</v>
      </c>
      <c r="BG20" s="377"/>
      <c r="BH20" s="377"/>
      <c r="BI20" s="307">
        <f t="shared" si="9"/>
        <v>0</v>
      </c>
      <c r="BJ20" s="377"/>
      <c r="BK20" s="377"/>
      <c r="BL20" s="377"/>
      <c r="BM20" s="377"/>
      <c r="BN20" s="377"/>
      <c r="BO20" s="307">
        <f>F20+SUM(I20:M20)+SUM(R20:U20)+BI20</f>
        <v>2668.653572285768</v>
      </c>
      <c r="BP20" s="308">
        <f>Q73-BO20</f>
        <v>-2668.653572285768</v>
      </c>
      <c r="BQ20" s="307">
        <f t="shared" si="10"/>
        <v>1950.6084277142327</v>
      </c>
      <c r="BR20" s="69">
        <f t="shared" si="3"/>
        <v>9.0683099256292667</v>
      </c>
    </row>
    <row r="21" spans="1:71" s="67" customFormat="1" ht="16.5" customHeight="1">
      <c r="A21" s="388" t="s">
        <v>72</v>
      </c>
      <c r="B21" s="389" t="s">
        <v>1782</v>
      </c>
      <c r="C21" s="388" t="s">
        <v>1783</v>
      </c>
      <c r="D21" s="390">
        <f>'01CH'!D20</f>
        <v>0</v>
      </c>
      <c r="E21" s="307">
        <f>SUM(G21:L21)+SUM(N21:T21)-R21</f>
        <v>0</v>
      </c>
      <c r="F21" s="307">
        <f t="shared" si="11"/>
        <v>0</v>
      </c>
      <c r="G21" s="307"/>
      <c r="H21" s="307"/>
      <c r="I21" s="377"/>
      <c r="J21" s="377"/>
      <c r="K21" s="377"/>
      <c r="L21" s="377"/>
      <c r="M21" s="377">
        <f t="shared" ref="M21:M23" si="14">SUM(N21:P21)</f>
        <v>0</v>
      </c>
      <c r="N21" s="377"/>
      <c r="O21" s="377"/>
      <c r="P21" s="377"/>
      <c r="Q21" s="377"/>
      <c r="R21" s="393">
        <f>$D21-$BO21</f>
        <v>0</v>
      </c>
      <c r="S21" s="377"/>
      <c r="T21" s="377"/>
      <c r="U21" s="307">
        <f t="shared" si="5"/>
        <v>0</v>
      </c>
      <c r="V21" s="377"/>
      <c r="W21" s="377"/>
      <c r="X21" s="377"/>
      <c r="Y21" s="377"/>
      <c r="Z21" s="377"/>
      <c r="AA21" s="377">
        <f t="shared" si="6"/>
        <v>0</v>
      </c>
      <c r="AB21" s="377"/>
      <c r="AC21" s="377"/>
      <c r="AD21" s="377"/>
      <c r="AE21" s="377"/>
      <c r="AF21" s="377"/>
      <c r="AG21" s="377"/>
      <c r="AH21" s="377"/>
      <c r="AI21" s="377"/>
      <c r="AJ21" s="377"/>
      <c r="AK21" s="377"/>
      <c r="AL21" s="377">
        <f t="shared" si="7"/>
        <v>0</v>
      </c>
      <c r="AM21" s="377"/>
      <c r="AN21" s="377"/>
      <c r="AO21" s="377"/>
      <c r="AP21" s="377"/>
      <c r="AQ21" s="377"/>
      <c r="AR21" s="377"/>
      <c r="AS21" s="377">
        <f t="shared" si="8"/>
        <v>0</v>
      </c>
      <c r="AT21" s="377"/>
      <c r="AU21" s="377"/>
      <c r="AV21" s="377"/>
      <c r="AW21" s="377"/>
      <c r="AX21" s="377"/>
      <c r="AY21" s="377"/>
      <c r="AZ21" s="377"/>
      <c r="BA21" s="377"/>
      <c r="BB21" s="377"/>
      <c r="BC21" s="377"/>
      <c r="BD21" s="377"/>
      <c r="BE21" s="377"/>
      <c r="BF21" s="377"/>
      <c r="BG21" s="377"/>
      <c r="BH21" s="377"/>
      <c r="BI21" s="307">
        <f t="shared" si="9"/>
        <v>0</v>
      </c>
      <c r="BJ21" s="377"/>
      <c r="BK21" s="377"/>
      <c r="BL21" s="377"/>
      <c r="BM21" s="377"/>
      <c r="BN21" s="377"/>
      <c r="BO21" s="307">
        <f>F21+SUM(I21:M21)+Q21+SUM(S21:U21)+BI21</f>
        <v>0</v>
      </c>
      <c r="BP21" s="307">
        <f>R20-BO21</f>
        <v>0</v>
      </c>
      <c r="BQ21" s="307">
        <f t="shared" si="10"/>
        <v>0</v>
      </c>
      <c r="BR21" s="69">
        <f t="shared" si="3"/>
        <v>0</v>
      </c>
    </row>
    <row r="22" spans="1:71" s="67" customFormat="1" ht="16.5" customHeight="1">
      <c r="A22" s="388" t="s">
        <v>82</v>
      </c>
      <c r="B22" s="389" t="s">
        <v>73</v>
      </c>
      <c r="C22" s="388" t="s">
        <v>19</v>
      </c>
      <c r="D22" s="390">
        <f>'01CH'!D21</f>
        <v>0</v>
      </c>
      <c r="E22" s="307">
        <f>SUM(G22:L22)+SUM(N22:T22)-S22</f>
        <v>0</v>
      </c>
      <c r="F22" s="307">
        <f t="shared" si="11"/>
        <v>0</v>
      </c>
      <c r="G22" s="307"/>
      <c r="H22" s="307"/>
      <c r="I22" s="377"/>
      <c r="J22" s="377"/>
      <c r="K22" s="377"/>
      <c r="L22" s="377"/>
      <c r="M22" s="377">
        <f t="shared" si="14"/>
        <v>0</v>
      </c>
      <c r="N22" s="377"/>
      <c r="O22" s="377"/>
      <c r="P22" s="377"/>
      <c r="Q22" s="377"/>
      <c r="R22" s="377"/>
      <c r="S22" s="393">
        <f>$D22-$BO22</f>
        <v>0</v>
      </c>
      <c r="T22" s="377"/>
      <c r="U22" s="307">
        <f t="shared" si="5"/>
        <v>0</v>
      </c>
      <c r="V22" s="377"/>
      <c r="W22" s="377"/>
      <c r="X22" s="377"/>
      <c r="Y22" s="377"/>
      <c r="Z22" s="377"/>
      <c r="AA22" s="377">
        <f t="shared" si="6"/>
        <v>0</v>
      </c>
      <c r="AB22" s="377"/>
      <c r="AC22" s="377"/>
      <c r="AD22" s="377"/>
      <c r="AE22" s="377"/>
      <c r="AF22" s="377"/>
      <c r="AG22" s="377"/>
      <c r="AH22" s="377"/>
      <c r="AI22" s="377"/>
      <c r="AJ22" s="377"/>
      <c r="AK22" s="377"/>
      <c r="AL22" s="377">
        <f t="shared" si="7"/>
        <v>0</v>
      </c>
      <c r="AM22" s="377"/>
      <c r="AN22" s="377"/>
      <c r="AO22" s="377"/>
      <c r="AP22" s="377"/>
      <c r="AQ22" s="377"/>
      <c r="AR22" s="377"/>
      <c r="AS22" s="377">
        <f t="shared" si="8"/>
        <v>0</v>
      </c>
      <c r="AT22" s="377"/>
      <c r="AU22" s="377"/>
      <c r="AV22" s="377"/>
      <c r="AW22" s="377"/>
      <c r="AX22" s="377"/>
      <c r="AY22" s="377"/>
      <c r="AZ22" s="377"/>
      <c r="BA22" s="377"/>
      <c r="BB22" s="377"/>
      <c r="BC22" s="377"/>
      <c r="BD22" s="377"/>
      <c r="BE22" s="377"/>
      <c r="BF22" s="377"/>
      <c r="BG22" s="377"/>
      <c r="BH22" s="377"/>
      <c r="BI22" s="307">
        <f t="shared" si="9"/>
        <v>0</v>
      </c>
      <c r="BJ22" s="377"/>
      <c r="BK22" s="377"/>
      <c r="BL22" s="377"/>
      <c r="BM22" s="377"/>
      <c r="BN22" s="377"/>
      <c r="BO22" s="307">
        <f>F22+SUM(I22:M22)+SUM(Q22:R22)+SUM(T22:U22)+BI22</f>
        <v>0</v>
      </c>
      <c r="BP22" s="307">
        <f>S21-BO22</f>
        <v>0</v>
      </c>
      <c r="BQ22" s="307">
        <f t="shared" si="10"/>
        <v>0</v>
      </c>
      <c r="BR22" s="69">
        <f t="shared" si="3"/>
        <v>0</v>
      </c>
    </row>
    <row r="23" spans="1:71" s="67" customFormat="1" ht="16.5" customHeight="1">
      <c r="A23" s="388" t="s">
        <v>85</v>
      </c>
      <c r="B23" s="389" t="s">
        <v>84</v>
      </c>
      <c r="C23" s="388" t="s">
        <v>20</v>
      </c>
      <c r="D23" s="390">
        <f>'01CH'!D22</f>
        <v>28.623000000000001</v>
      </c>
      <c r="E23" s="307">
        <f>SUM(G23:L23)+SUM(N23:T23)-T23</f>
        <v>0</v>
      </c>
      <c r="F23" s="307">
        <f t="shared" si="11"/>
        <v>0</v>
      </c>
      <c r="G23" s="307"/>
      <c r="H23" s="307"/>
      <c r="I23" s="377"/>
      <c r="J23" s="377"/>
      <c r="K23" s="377"/>
      <c r="L23" s="377"/>
      <c r="M23" s="377">
        <f t="shared" si="14"/>
        <v>0</v>
      </c>
      <c r="N23" s="377"/>
      <c r="O23" s="377"/>
      <c r="P23" s="377"/>
      <c r="Q23" s="377"/>
      <c r="R23" s="377"/>
      <c r="S23" s="377"/>
      <c r="T23" s="393">
        <f>$D23-$BO23</f>
        <v>27.883000000000003</v>
      </c>
      <c r="U23" s="307">
        <f t="shared" si="5"/>
        <v>0.74</v>
      </c>
      <c r="V23" s="377">
        <v>0.72</v>
      </c>
      <c r="W23" s="377">
        <v>0</v>
      </c>
      <c r="X23" s="377">
        <v>0</v>
      </c>
      <c r="Y23" s="377"/>
      <c r="Z23" s="377"/>
      <c r="AA23" s="377">
        <f t="shared" si="6"/>
        <v>0</v>
      </c>
      <c r="AB23" s="377"/>
      <c r="AC23" s="377"/>
      <c r="AD23" s="377"/>
      <c r="AE23" s="377"/>
      <c r="AF23" s="377"/>
      <c r="AG23" s="377"/>
      <c r="AH23" s="377"/>
      <c r="AI23" s="377"/>
      <c r="AJ23" s="377"/>
      <c r="AK23" s="377"/>
      <c r="AL23" s="377">
        <f t="shared" si="7"/>
        <v>0</v>
      </c>
      <c r="AM23" s="377"/>
      <c r="AN23" s="377"/>
      <c r="AO23" s="377"/>
      <c r="AP23" s="377"/>
      <c r="AQ23" s="377"/>
      <c r="AR23" s="377"/>
      <c r="AS23" s="377">
        <f t="shared" si="8"/>
        <v>0.02</v>
      </c>
      <c r="AT23" s="377">
        <v>0.02</v>
      </c>
      <c r="AU23" s="377">
        <v>0</v>
      </c>
      <c r="AV23" s="377"/>
      <c r="AW23" s="377"/>
      <c r="AX23" s="377"/>
      <c r="AY23" s="377"/>
      <c r="AZ23" s="377"/>
      <c r="BA23" s="377"/>
      <c r="BB23" s="377"/>
      <c r="BC23" s="377"/>
      <c r="BD23" s="377"/>
      <c r="BE23" s="377"/>
      <c r="BF23" s="377"/>
      <c r="BG23" s="377"/>
      <c r="BH23" s="377"/>
      <c r="BI23" s="307">
        <f t="shared" si="9"/>
        <v>0</v>
      </c>
      <c r="BJ23" s="377"/>
      <c r="BK23" s="377"/>
      <c r="BL23" s="377"/>
      <c r="BM23" s="377"/>
      <c r="BN23" s="377"/>
      <c r="BO23" s="307">
        <f>F23+SUM(I23:M23)+SUM(Q23:S23)+U23+BI23</f>
        <v>0.74</v>
      </c>
      <c r="BP23" s="308">
        <f>T73-BO23</f>
        <v>-0.74</v>
      </c>
      <c r="BQ23" s="307">
        <f t="shared" si="10"/>
        <v>27.883000000000003</v>
      </c>
      <c r="BR23" s="69">
        <f t="shared" si="3"/>
        <v>0.12962708561277889</v>
      </c>
    </row>
    <row r="24" spans="1:71" s="64" customFormat="1" ht="16.5" customHeight="1">
      <c r="A24" s="381">
        <v>2</v>
      </c>
      <c r="B24" s="384" t="s">
        <v>21</v>
      </c>
      <c r="C24" s="381" t="s">
        <v>22</v>
      </c>
      <c r="D24" s="379">
        <f>'01CH'!D23</f>
        <v>8461.9052000000011</v>
      </c>
      <c r="E24" s="383">
        <f>SUM(F24,I24,J24,K24,L24,M24,Q24,R24,S24,T24)</f>
        <v>0</v>
      </c>
      <c r="F24" s="383">
        <f>SUM(F26:F31)+F43+F50+SUM(F62:F67)</f>
        <v>0</v>
      </c>
      <c r="G24" s="383">
        <f t="shared" ref="G24:BN24" si="15">SUM(G26:G31)+G43+G50+SUM(G62:G67)</f>
        <v>0</v>
      </c>
      <c r="H24" s="383">
        <f t="shared" si="15"/>
        <v>0</v>
      </c>
      <c r="I24" s="383">
        <f t="shared" si="15"/>
        <v>0</v>
      </c>
      <c r="J24" s="383">
        <f t="shared" si="15"/>
        <v>0</v>
      </c>
      <c r="K24" s="383">
        <f t="shared" si="15"/>
        <v>0</v>
      </c>
      <c r="L24" s="383">
        <f t="shared" si="15"/>
        <v>0</v>
      </c>
      <c r="M24" s="383">
        <f t="shared" si="15"/>
        <v>0</v>
      </c>
      <c r="N24" s="383">
        <f t="shared" si="15"/>
        <v>0</v>
      </c>
      <c r="O24" s="383">
        <f t="shared" si="15"/>
        <v>0</v>
      </c>
      <c r="P24" s="383">
        <f t="shared" si="15"/>
        <v>0</v>
      </c>
      <c r="Q24" s="383">
        <f t="shared" si="15"/>
        <v>0</v>
      </c>
      <c r="R24" s="383">
        <f t="shared" si="15"/>
        <v>0</v>
      </c>
      <c r="S24" s="383">
        <f t="shared" si="15"/>
        <v>0</v>
      </c>
      <c r="T24" s="383">
        <f t="shared" si="15"/>
        <v>0</v>
      </c>
      <c r="U24" s="397">
        <f>V26+W27+X28+Y29+Z30+AA31+AL43+AS50+BD62+BE63+BF64+BG65+BH66</f>
        <v>7665.9068494743788</v>
      </c>
      <c r="V24" s="383">
        <f>SUM(V26:V31)+V43+V50+SUM(V62:V67)-V26</f>
        <v>283.03999999999996</v>
      </c>
      <c r="W24" s="383">
        <f>SUM(W26:W31)+W43+W50+SUM(W62:W67)-W27</f>
        <v>8.9786000000000286</v>
      </c>
      <c r="X24" s="383">
        <f>SUM(X26:X31)+X43+X50+SUM(X62:X67)-X28</f>
        <v>0.84999999999999787</v>
      </c>
      <c r="Y24" s="383">
        <f>SUM(Y26:Y31)+Y43+Y50+SUM(Y62:Y67)-Y29</f>
        <v>1.9284889999999999</v>
      </c>
      <c r="Z24" s="383">
        <f>SUM(Z26:Z31)+Z43+Z50+SUM(Z62:Z67)-Z30</f>
        <v>0.89700000000000024</v>
      </c>
      <c r="AA24" s="383">
        <f>SUM(AB24:AK24)</f>
        <v>3.6328999999999994</v>
      </c>
      <c r="AB24" s="383">
        <f t="shared" ref="AB24:AK24" si="16">SUM(AB26:AB31)+AB43+AB50+SUM(AB62:AB67)</f>
        <v>2.585</v>
      </c>
      <c r="AC24" s="383">
        <f t="shared" si="16"/>
        <v>0.2979</v>
      </c>
      <c r="AD24" s="383">
        <f t="shared" si="16"/>
        <v>0.40000000000000013</v>
      </c>
      <c r="AE24" s="383">
        <f t="shared" si="16"/>
        <v>0.09</v>
      </c>
      <c r="AF24" s="383">
        <f t="shared" si="16"/>
        <v>0.25999999999999995</v>
      </c>
      <c r="AG24" s="383">
        <f t="shared" si="16"/>
        <v>0</v>
      </c>
      <c r="AH24" s="383">
        <f t="shared" si="16"/>
        <v>0</v>
      </c>
      <c r="AI24" s="383">
        <f t="shared" si="16"/>
        <v>0</v>
      </c>
      <c r="AJ24" s="383">
        <f t="shared" si="16"/>
        <v>0</v>
      </c>
      <c r="AK24" s="383">
        <f t="shared" si="16"/>
        <v>0</v>
      </c>
      <c r="AL24" s="383">
        <f>SUM(AM24:AR24)</f>
        <v>297.26126152562182</v>
      </c>
      <c r="AM24" s="383">
        <f t="shared" ref="AM24:AR24" si="17">SUM(AM26:AM31)+AM43+AM50+SUM(AM62:AM67)</f>
        <v>121.19472680145149</v>
      </c>
      <c r="AN24" s="383">
        <f t="shared" si="17"/>
        <v>122.31</v>
      </c>
      <c r="AO24" s="383">
        <f t="shared" si="17"/>
        <v>0</v>
      </c>
      <c r="AP24" s="383">
        <f t="shared" si="17"/>
        <v>53.346534724170255</v>
      </c>
      <c r="AQ24" s="383">
        <f t="shared" si="17"/>
        <v>0.41000000000000003</v>
      </c>
      <c r="AR24" s="383">
        <f t="shared" si="17"/>
        <v>0</v>
      </c>
      <c r="AS24" s="383">
        <f>SUM(AT24:BC24)</f>
        <v>195.96210000000005</v>
      </c>
      <c r="AT24" s="383">
        <f t="shared" si="15"/>
        <v>142.90000000000006</v>
      </c>
      <c r="AU24" s="383">
        <f t="shared" si="15"/>
        <v>0</v>
      </c>
      <c r="AV24" s="383">
        <f t="shared" si="15"/>
        <v>0</v>
      </c>
      <c r="AW24" s="383">
        <f t="shared" si="15"/>
        <v>0</v>
      </c>
      <c r="AX24" s="383">
        <f t="shared" si="15"/>
        <v>0</v>
      </c>
      <c r="AY24" s="383">
        <f t="shared" si="15"/>
        <v>0</v>
      </c>
      <c r="AZ24" s="383">
        <f t="shared" si="15"/>
        <v>52.55</v>
      </c>
      <c r="BA24" s="383">
        <f t="shared" si="15"/>
        <v>0</v>
      </c>
      <c r="BB24" s="383">
        <f t="shared" si="15"/>
        <v>0</v>
      </c>
      <c r="BC24" s="383">
        <f t="shared" si="15"/>
        <v>0.5121</v>
      </c>
      <c r="BD24" s="383">
        <f>SUM(BD26:BD31)+BD43+BD50+SUM(BD62:BD67)-BD62</f>
        <v>0.25999999999999801</v>
      </c>
      <c r="BE24" s="383">
        <f>SUM(BE26:BE31)+BE43+BE50+SUM(BE62:BE67)-BE63</f>
        <v>0</v>
      </c>
      <c r="BF24" s="383">
        <f>SUM(BF26:BF31)+BF43+BF50+SUM(BF62:BF67)-BF64</f>
        <v>1.5420000000000016</v>
      </c>
      <c r="BG24" s="383">
        <f>SUM(BG26:BG31)+BG43+BG50+SUM(BG62:BG67)-BG65</f>
        <v>0</v>
      </c>
      <c r="BH24" s="383">
        <f>SUM(BH26:BH31)+BH43+BH50+SUM(BH62:BH67)-BH66</f>
        <v>0</v>
      </c>
      <c r="BI24" s="383">
        <f>SUM(BI26:BI31)+BI43+BI50+SUM(BI62:BI67)-BI67</f>
        <v>0</v>
      </c>
      <c r="BJ24" s="383">
        <f>SUM(BJ26:BJ31)+BJ43+BJ50+SUM(BJ62:BJ67)</f>
        <v>0</v>
      </c>
      <c r="BK24" s="383">
        <f t="shared" si="15"/>
        <v>0</v>
      </c>
      <c r="BL24" s="383">
        <f t="shared" si="15"/>
        <v>0</v>
      </c>
      <c r="BM24" s="383">
        <f t="shared" si="15"/>
        <v>0</v>
      </c>
      <c r="BN24" s="383">
        <f t="shared" si="15"/>
        <v>0</v>
      </c>
      <c r="BO24" s="383">
        <f>E24+SUM(V24:AA24)+AL24+AS24+SUM(BD24:BI24)</f>
        <v>794.35235052562189</v>
      </c>
      <c r="BP24" s="386">
        <f>U73-BO24</f>
        <v>4838.3422480490099</v>
      </c>
      <c r="BQ24" s="383">
        <f t="shared" ref="BQ24" si="18">SUM(BQ26:BQ31)+BQ43+BQ50+SUM(BQ62:BQ66)</f>
        <v>13300.247448049011</v>
      </c>
      <c r="BR24" s="63">
        <f t="shared" si="3"/>
        <v>61.832382262288597</v>
      </c>
    </row>
    <row r="25" spans="1:71" s="67" customFormat="1" ht="16.5" customHeight="1">
      <c r="A25" s="381"/>
      <c r="B25" s="387" t="s">
        <v>176</v>
      </c>
      <c r="C25" s="381"/>
      <c r="D25" s="379"/>
      <c r="E25" s="307"/>
      <c r="F25" s="307"/>
      <c r="G25" s="307"/>
      <c r="H25" s="307"/>
      <c r="I25" s="377"/>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7"/>
      <c r="AI25" s="377"/>
      <c r="AJ25" s="377"/>
      <c r="AK25" s="377"/>
      <c r="AL25" s="377"/>
      <c r="AM25" s="377"/>
      <c r="AN25" s="377"/>
      <c r="AO25" s="377"/>
      <c r="AP25" s="377"/>
      <c r="AQ25" s="377"/>
      <c r="AR25" s="377"/>
      <c r="AS25" s="377"/>
      <c r="AT25" s="377"/>
      <c r="AU25" s="377"/>
      <c r="AV25" s="377"/>
      <c r="AW25" s="377"/>
      <c r="AX25" s="377"/>
      <c r="AY25" s="377"/>
      <c r="AZ25" s="377"/>
      <c r="BA25" s="377"/>
      <c r="BB25" s="377"/>
      <c r="BC25" s="377"/>
      <c r="BD25" s="377"/>
      <c r="BE25" s="377"/>
      <c r="BF25" s="377"/>
      <c r="BG25" s="377"/>
      <c r="BH25" s="377"/>
      <c r="BI25" s="377"/>
      <c r="BJ25" s="377"/>
      <c r="BK25" s="377"/>
      <c r="BL25" s="377"/>
      <c r="BM25" s="377"/>
      <c r="BN25" s="377"/>
      <c r="BO25" s="307"/>
      <c r="BP25" s="308"/>
      <c r="BQ25" s="307"/>
      <c r="BR25" s="69">
        <f t="shared" si="3"/>
        <v>0</v>
      </c>
    </row>
    <row r="26" spans="1:71" s="67" customFormat="1" ht="16.5" customHeight="1">
      <c r="A26" s="388" t="s">
        <v>23</v>
      </c>
      <c r="B26" s="389" t="s">
        <v>95</v>
      </c>
      <c r="C26" s="388" t="s">
        <v>56</v>
      </c>
      <c r="D26" s="390">
        <f>'01CH'!D25</f>
        <v>3207.9639999999999</v>
      </c>
      <c r="E26" s="307">
        <f t="shared" ref="E26:E72" si="19">SUM(F26,I26,J26,K26,L26,M26,Q26,R26,S26,T26)</f>
        <v>0</v>
      </c>
      <c r="F26" s="307">
        <f t="shared" ref="F26:F30" si="20">SUM(G26:H26)</f>
        <v>0</v>
      </c>
      <c r="G26" s="307"/>
      <c r="H26" s="307"/>
      <c r="I26" s="377"/>
      <c r="J26" s="377"/>
      <c r="K26" s="377"/>
      <c r="L26" s="377"/>
      <c r="M26" s="377">
        <f t="shared" ref="M26:M30" si="21">SUM(N26:P26)</f>
        <v>0</v>
      </c>
      <c r="N26" s="377"/>
      <c r="O26" s="377"/>
      <c r="P26" s="377"/>
      <c r="Q26" s="377"/>
      <c r="R26" s="377"/>
      <c r="S26" s="377"/>
      <c r="T26" s="377"/>
      <c r="U26" s="307">
        <f>SUM(W26:AA26)+AL26+AS26+SUM(BD26:BH26)</f>
        <v>227.18349772417031</v>
      </c>
      <c r="V26" s="393">
        <f>$D26-$BO26</f>
        <v>2980.7805022758298</v>
      </c>
      <c r="W26" s="377"/>
      <c r="X26" s="377"/>
      <c r="Y26" s="377">
        <v>0.412327</v>
      </c>
      <c r="Z26" s="377">
        <v>0.02</v>
      </c>
      <c r="AA26" s="377">
        <f>SUM(AB26:AK26)</f>
        <v>1.1100000000000001</v>
      </c>
      <c r="AB26" s="377">
        <v>1.05</v>
      </c>
      <c r="AC26" s="377"/>
      <c r="AD26" s="377">
        <v>0</v>
      </c>
      <c r="AE26" s="377">
        <v>0.03</v>
      </c>
      <c r="AF26" s="377">
        <v>0.03</v>
      </c>
      <c r="AG26" s="377"/>
      <c r="AH26" s="377"/>
      <c r="AI26" s="377"/>
      <c r="AJ26" s="377"/>
      <c r="AK26" s="377"/>
      <c r="AL26" s="377">
        <f>SUM(AM26:AR26)</f>
        <v>135.87117072417027</v>
      </c>
      <c r="AM26" s="377">
        <v>33.029999999999994</v>
      </c>
      <c r="AN26" s="377">
        <v>61.02</v>
      </c>
      <c r="AO26" s="377"/>
      <c r="AP26" s="377">
        <v>41.49117072417026</v>
      </c>
      <c r="AQ26" s="377">
        <v>0.33</v>
      </c>
      <c r="AR26" s="377"/>
      <c r="AS26" s="377">
        <f>SUM(AT26:BC26)</f>
        <v>88.210000000000022</v>
      </c>
      <c r="AT26" s="377">
        <v>82.280000000000015</v>
      </c>
      <c r="AU26" s="377">
        <v>0</v>
      </c>
      <c r="AV26" s="377"/>
      <c r="AW26" s="377"/>
      <c r="AX26" s="377"/>
      <c r="AY26" s="377"/>
      <c r="AZ26" s="377">
        <v>5.8999999999999995</v>
      </c>
      <c r="BA26" s="377">
        <v>0</v>
      </c>
      <c r="BB26" s="377"/>
      <c r="BC26" s="377">
        <v>0.03</v>
      </c>
      <c r="BD26" s="377">
        <v>0.26</v>
      </c>
      <c r="BE26" s="377"/>
      <c r="BF26" s="377">
        <v>1.3</v>
      </c>
      <c r="BG26" s="377"/>
      <c r="BH26" s="377"/>
      <c r="BI26" s="377">
        <f>SUM(BJ26:BN26)</f>
        <v>0</v>
      </c>
      <c r="BJ26" s="377"/>
      <c r="BK26" s="377"/>
      <c r="BL26" s="377"/>
      <c r="BM26" s="377"/>
      <c r="BN26" s="377"/>
      <c r="BO26" s="307">
        <f>E26+SUM(W26:AA26)+AL26+AS26+SUM(BD26:BI26)</f>
        <v>227.18349772417031</v>
      </c>
      <c r="BP26" s="308">
        <f>V73-BO26</f>
        <v>3130.3863424259598</v>
      </c>
      <c r="BQ26" s="307">
        <f t="shared" si="10"/>
        <v>6338.3503424259598</v>
      </c>
      <c r="BR26" s="69">
        <f t="shared" si="3"/>
        <v>29.466767653460398</v>
      </c>
    </row>
    <row r="27" spans="1:71" s="67" customFormat="1" ht="16.5" customHeight="1">
      <c r="A27" s="388" t="s">
        <v>25</v>
      </c>
      <c r="B27" s="389" t="s">
        <v>96</v>
      </c>
      <c r="C27" s="388" t="s">
        <v>55</v>
      </c>
      <c r="D27" s="390">
        <f>'01CH'!D26</f>
        <v>470.9131999999999</v>
      </c>
      <c r="E27" s="307">
        <f t="shared" si="19"/>
        <v>0</v>
      </c>
      <c r="F27" s="307">
        <f t="shared" si="20"/>
        <v>0</v>
      </c>
      <c r="G27" s="307"/>
      <c r="H27" s="307"/>
      <c r="I27" s="377"/>
      <c r="J27" s="377"/>
      <c r="K27" s="377"/>
      <c r="L27" s="377"/>
      <c r="M27" s="377">
        <f t="shared" si="21"/>
        <v>0</v>
      </c>
      <c r="N27" s="377"/>
      <c r="O27" s="377"/>
      <c r="P27" s="377"/>
      <c r="Q27" s="377"/>
      <c r="R27" s="377"/>
      <c r="S27" s="377"/>
      <c r="T27" s="377"/>
      <c r="U27" s="307">
        <f>SUM(V27:AA27)+AL27+AS27+SUM(BD27:BH27)-W27</f>
        <v>14.225999999999999</v>
      </c>
      <c r="V27" s="377"/>
      <c r="W27" s="393">
        <f>$D27-$BO27</f>
        <v>456.6871999999999</v>
      </c>
      <c r="X27" s="377">
        <v>0.28000000000000003</v>
      </c>
      <c r="Y27" s="377">
        <v>0</v>
      </c>
      <c r="Z27" s="377">
        <v>1.6E-2</v>
      </c>
      <c r="AA27" s="377">
        <f t="shared" ref="AA27:AA30" si="22">SUM(AB27:AK27)</f>
        <v>0.12000000000000001</v>
      </c>
      <c r="AB27" s="377">
        <v>7.0000000000000007E-2</v>
      </c>
      <c r="AC27" s="377"/>
      <c r="AD27" s="377">
        <v>0</v>
      </c>
      <c r="AE27" s="377">
        <v>0.05</v>
      </c>
      <c r="AF27" s="377">
        <v>0</v>
      </c>
      <c r="AG27" s="377"/>
      <c r="AH27" s="377"/>
      <c r="AI27" s="377"/>
      <c r="AJ27" s="377"/>
      <c r="AK27" s="377"/>
      <c r="AL27" s="377">
        <f t="shared" ref="AL27:AL30" si="23">SUM(AM27:AR27)</f>
        <v>0</v>
      </c>
      <c r="AM27" s="377"/>
      <c r="AN27" s="377"/>
      <c r="AO27" s="377"/>
      <c r="AP27" s="377"/>
      <c r="AQ27" s="377"/>
      <c r="AR27" s="377"/>
      <c r="AS27" s="377">
        <f t="shared" ref="AS27:AS30" si="24">SUM(AT27:BC27)</f>
        <v>13.81</v>
      </c>
      <c r="AT27" s="377">
        <v>13.72</v>
      </c>
      <c r="AU27" s="377">
        <v>0</v>
      </c>
      <c r="AV27" s="377"/>
      <c r="AW27" s="377"/>
      <c r="AX27" s="377"/>
      <c r="AY27" s="377"/>
      <c r="AZ27" s="377"/>
      <c r="BA27" s="377"/>
      <c r="BB27" s="377"/>
      <c r="BC27" s="377">
        <v>0.09</v>
      </c>
      <c r="BD27" s="377"/>
      <c r="BE27" s="377"/>
      <c r="BF27" s="377"/>
      <c r="BG27" s="377"/>
      <c r="BH27" s="377"/>
      <c r="BI27" s="377">
        <f t="shared" ref="BI27:BI30" si="25">SUM(BJ27:BN27)</f>
        <v>0</v>
      </c>
      <c r="BJ27" s="377"/>
      <c r="BK27" s="377"/>
      <c r="BL27" s="377"/>
      <c r="BM27" s="377"/>
      <c r="BN27" s="377"/>
      <c r="BO27" s="307">
        <f>F27+SUM(I27:M27)+SUM(Q27:T27)+V27+SUM(X27:Z27)+AA27+AL27+AS27+BI27+SUM(BD27:BH27)</f>
        <v>14.226000000000001</v>
      </c>
      <c r="BP27" s="308">
        <f>W73-BO27</f>
        <v>158.9563428644895</v>
      </c>
      <c r="BQ27" s="307">
        <f t="shared" si="10"/>
        <v>629.8695428644894</v>
      </c>
      <c r="BR27" s="69"/>
    </row>
    <row r="28" spans="1:71" s="67" customFormat="1" ht="16.5" customHeight="1">
      <c r="A28" s="388" t="s">
        <v>27</v>
      </c>
      <c r="B28" s="389" t="s">
        <v>90</v>
      </c>
      <c r="C28" s="388" t="s">
        <v>24</v>
      </c>
      <c r="D28" s="390">
        <f>'01CH'!D27</f>
        <v>14.737</v>
      </c>
      <c r="E28" s="307">
        <f t="shared" si="19"/>
        <v>0</v>
      </c>
      <c r="F28" s="307">
        <f t="shared" si="20"/>
        <v>0</v>
      </c>
      <c r="G28" s="307"/>
      <c r="H28" s="307"/>
      <c r="I28" s="377"/>
      <c r="J28" s="377"/>
      <c r="K28" s="377"/>
      <c r="L28" s="377"/>
      <c r="M28" s="377">
        <f t="shared" si="21"/>
        <v>0</v>
      </c>
      <c r="N28" s="377"/>
      <c r="O28" s="377"/>
      <c r="P28" s="377"/>
      <c r="Q28" s="377"/>
      <c r="R28" s="377"/>
      <c r="S28" s="377"/>
      <c r="T28" s="377"/>
      <c r="U28" s="307">
        <f>SUM(V28:AA28)+AL28+AS28+SUM(BD28:BH28)-X28</f>
        <v>1.5248999999999988</v>
      </c>
      <c r="V28" s="377">
        <v>0.45</v>
      </c>
      <c r="W28" s="377">
        <v>0.55699999999999994</v>
      </c>
      <c r="X28" s="393">
        <f>$D28-$BO28</f>
        <v>13.2121</v>
      </c>
      <c r="Y28" s="377">
        <v>0</v>
      </c>
      <c r="Z28" s="377">
        <v>0.04</v>
      </c>
      <c r="AA28" s="377">
        <f t="shared" si="22"/>
        <v>0.47789999999999999</v>
      </c>
      <c r="AB28" s="377"/>
      <c r="AC28" s="377">
        <v>0.2979</v>
      </c>
      <c r="AD28" s="377">
        <v>0.18</v>
      </c>
      <c r="AE28" s="377">
        <v>0</v>
      </c>
      <c r="AF28" s="377">
        <v>0</v>
      </c>
      <c r="AG28" s="377"/>
      <c r="AH28" s="377"/>
      <c r="AI28" s="377"/>
      <c r="AJ28" s="377"/>
      <c r="AK28" s="377"/>
      <c r="AL28" s="377">
        <f t="shared" si="23"/>
        <v>0</v>
      </c>
      <c r="AM28" s="377"/>
      <c r="AN28" s="377"/>
      <c r="AO28" s="377"/>
      <c r="AP28" s="377"/>
      <c r="AQ28" s="377"/>
      <c r="AR28" s="377"/>
      <c r="AS28" s="377">
        <f t="shared" si="24"/>
        <v>0</v>
      </c>
      <c r="AT28" s="377"/>
      <c r="AU28" s="377"/>
      <c r="AV28" s="377"/>
      <c r="AW28" s="377"/>
      <c r="AX28" s="377"/>
      <c r="AY28" s="377"/>
      <c r="AZ28" s="377"/>
      <c r="BA28" s="377"/>
      <c r="BB28" s="377"/>
      <c r="BC28" s="377"/>
      <c r="BD28" s="377"/>
      <c r="BE28" s="377"/>
      <c r="BF28" s="377"/>
      <c r="BG28" s="377"/>
      <c r="BH28" s="377"/>
      <c r="BI28" s="377">
        <f t="shared" si="25"/>
        <v>0</v>
      </c>
      <c r="BJ28" s="377"/>
      <c r="BK28" s="377"/>
      <c r="BL28" s="377"/>
      <c r="BM28" s="377"/>
      <c r="BN28" s="377"/>
      <c r="BO28" s="307">
        <f>E28+SUM(V28:W28)+SUM(Y28:AA28)+AL28+AS28+SUM(BD28:BI28)</f>
        <v>1.5248999999999999</v>
      </c>
      <c r="BP28" s="308">
        <f>X73-BO28</f>
        <v>0.33509999999999773</v>
      </c>
      <c r="BQ28" s="307">
        <f t="shared" si="10"/>
        <v>15.072099999999997</v>
      </c>
      <c r="BR28" s="69">
        <f>BQ28/$BQ$6*100</f>
        <v>7.0069662413096312E-2</v>
      </c>
    </row>
    <row r="29" spans="1:71" s="67" customFormat="1" ht="16.5" customHeight="1">
      <c r="A29" s="388" t="s">
        <v>29</v>
      </c>
      <c r="B29" s="389" t="s">
        <v>64</v>
      </c>
      <c r="C29" s="388" t="s">
        <v>26</v>
      </c>
      <c r="D29" s="390">
        <f>'01CH'!D28</f>
        <v>1.05</v>
      </c>
      <c r="E29" s="307">
        <f t="shared" si="19"/>
        <v>0</v>
      </c>
      <c r="F29" s="307">
        <f t="shared" si="20"/>
        <v>0</v>
      </c>
      <c r="G29" s="307"/>
      <c r="H29" s="307"/>
      <c r="I29" s="377"/>
      <c r="J29" s="377"/>
      <c r="K29" s="377"/>
      <c r="L29" s="377"/>
      <c r="M29" s="377">
        <f t="shared" si="21"/>
        <v>0</v>
      </c>
      <c r="N29" s="377"/>
      <c r="O29" s="377"/>
      <c r="P29" s="377"/>
      <c r="Q29" s="377"/>
      <c r="R29" s="377"/>
      <c r="S29" s="377"/>
      <c r="T29" s="377"/>
      <c r="U29" s="307">
        <f>SUM(V29:AA29)+AL29+AS29+SUM(BD29:BH29)-Y29</f>
        <v>1.05</v>
      </c>
      <c r="V29" s="377">
        <v>0</v>
      </c>
      <c r="W29" s="377">
        <v>1.05</v>
      </c>
      <c r="X29" s="377">
        <v>0</v>
      </c>
      <c r="Y29" s="393">
        <f>$D29-$BO29</f>
        <v>0</v>
      </c>
      <c r="Z29" s="377"/>
      <c r="AA29" s="377">
        <f t="shared" si="22"/>
        <v>0</v>
      </c>
      <c r="AB29" s="377"/>
      <c r="AC29" s="377"/>
      <c r="AD29" s="377"/>
      <c r="AE29" s="377"/>
      <c r="AF29" s="377"/>
      <c r="AG29" s="377"/>
      <c r="AH29" s="377"/>
      <c r="AI29" s="377"/>
      <c r="AJ29" s="377"/>
      <c r="AK29" s="377"/>
      <c r="AL29" s="377">
        <f t="shared" si="23"/>
        <v>0</v>
      </c>
      <c r="AM29" s="377"/>
      <c r="AN29" s="377"/>
      <c r="AO29" s="377"/>
      <c r="AP29" s="377"/>
      <c r="AQ29" s="377"/>
      <c r="AR29" s="377"/>
      <c r="AS29" s="377">
        <f t="shared" si="24"/>
        <v>0</v>
      </c>
      <c r="AT29" s="377"/>
      <c r="AU29" s="377"/>
      <c r="AV29" s="377"/>
      <c r="AW29" s="377"/>
      <c r="AX29" s="377"/>
      <c r="AY29" s="377"/>
      <c r="AZ29" s="377"/>
      <c r="BA29" s="377"/>
      <c r="BB29" s="377"/>
      <c r="BC29" s="377"/>
      <c r="BD29" s="377"/>
      <c r="BE29" s="377"/>
      <c r="BF29" s="377"/>
      <c r="BG29" s="377"/>
      <c r="BH29" s="377"/>
      <c r="BI29" s="377">
        <f t="shared" si="25"/>
        <v>0</v>
      </c>
      <c r="BJ29" s="377"/>
      <c r="BK29" s="377"/>
      <c r="BL29" s="377"/>
      <c r="BM29" s="377"/>
      <c r="BN29" s="377"/>
      <c r="BO29" s="307">
        <f>E29+SUM(V29:X29)+Z29+AA29+AL29+AS29+SUM(BD29:BI29)</f>
        <v>1.05</v>
      </c>
      <c r="BP29" s="308">
        <f>Y73-BO29</f>
        <v>6.009849</v>
      </c>
      <c r="BQ29" s="307">
        <f t="shared" si="10"/>
        <v>7.0598489999999998</v>
      </c>
    </row>
    <row r="30" spans="1:71" s="67" customFormat="1" ht="16.5" customHeight="1">
      <c r="A30" s="388" t="s">
        <v>31</v>
      </c>
      <c r="B30" s="389" t="s">
        <v>65</v>
      </c>
      <c r="C30" s="388" t="s">
        <v>28</v>
      </c>
      <c r="D30" s="390">
        <f>'01CH'!D29</f>
        <v>1.754</v>
      </c>
      <c r="E30" s="307">
        <f t="shared" si="19"/>
        <v>0</v>
      </c>
      <c r="F30" s="307">
        <f t="shared" si="20"/>
        <v>0</v>
      </c>
      <c r="G30" s="307"/>
      <c r="H30" s="307"/>
      <c r="I30" s="377"/>
      <c r="J30" s="377"/>
      <c r="K30" s="377"/>
      <c r="L30" s="377"/>
      <c r="M30" s="377">
        <f t="shared" si="21"/>
        <v>0</v>
      </c>
      <c r="N30" s="377"/>
      <c r="O30" s="377"/>
      <c r="P30" s="377"/>
      <c r="Q30" s="377"/>
      <c r="R30" s="377"/>
      <c r="S30" s="377"/>
      <c r="T30" s="377"/>
      <c r="U30" s="307">
        <f>SUM(V30:AA30)+AL30+AS30+SUM(BD30:BH30)-Z30</f>
        <v>0</v>
      </c>
      <c r="V30" s="377"/>
      <c r="W30" s="377"/>
      <c r="X30" s="377"/>
      <c r="Y30" s="377"/>
      <c r="Z30" s="393">
        <f>$D30-$BO30</f>
        <v>1.754</v>
      </c>
      <c r="AA30" s="377">
        <f t="shared" si="22"/>
        <v>0</v>
      </c>
      <c r="AB30" s="377"/>
      <c r="AC30" s="377"/>
      <c r="AD30" s="377"/>
      <c r="AE30" s="377"/>
      <c r="AF30" s="377"/>
      <c r="AG30" s="377"/>
      <c r="AH30" s="377"/>
      <c r="AI30" s="377"/>
      <c r="AJ30" s="377"/>
      <c r="AK30" s="377"/>
      <c r="AL30" s="377">
        <f t="shared" si="23"/>
        <v>0</v>
      </c>
      <c r="AM30" s="377"/>
      <c r="AN30" s="377"/>
      <c r="AO30" s="377"/>
      <c r="AP30" s="377"/>
      <c r="AQ30" s="377"/>
      <c r="AR30" s="377"/>
      <c r="AS30" s="377">
        <f t="shared" si="24"/>
        <v>0</v>
      </c>
      <c r="AT30" s="377"/>
      <c r="AU30" s="377"/>
      <c r="AV30" s="377"/>
      <c r="AW30" s="377"/>
      <c r="AX30" s="377"/>
      <c r="AY30" s="377"/>
      <c r="AZ30" s="377"/>
      <c r="BA30" s="377"/>
      <c r="BB30" s="377"/>
      <c r="BC30" s="377"/>
      <c r="BD30" s="377"/>
      <c r="BE30" s="377"/>
      <c r="BF30" s="377"/>
      <c r="BG30" s="377"/>
      <c r="BH30" s="377"/>
      <c r="BI30" s="377">
        <f t="shared" si="25"/>
        <v>0</v>
      </c>
      <c r="BJ30" s="377"/>
      <c r="BK30" s="377"/>
      <c r="BL30" s="377"/>
      <c r="BM30" s="377"/>
      <c r="BN30" s="377"/>
      <c r="BO30" s="307">
        <f>E30+SUM(V30:Y30)+AA30+AL30+AS30+SUM(BD30:BI30)</f>
        <v>0</v>
      </c>
      <c r="BP30" s="308">
        <f>Z73-BO30</f>
        <v>3.4970000000000012</v>
      </c>
      <c r="BQ30" s="307">
        <f t="shared" si="10"/>
        <v>5.2510000000000012</v>
      </c>
      <c r="BS30" s="68"/>
    </row>
    <row r="31" spans="1:71" s="67" customFormat="1" ht="16.5" customHeight="1">
      <c r="A31" s="388" t="s">
        <v>33</v>
      </c>
      <c r="B31" s="389" t="s">
        <v>1784</v>
      </c>
      <c r="C31" s="388" t="s">
        <v>154</v>
      </c>
      <c r="D31" s="390">
        <f>'01CH'!D30</f>
        <v>97.384</v>
      </c>
      <c r="E31" s="307">
        <f t="shared" si="19"/>
        <v>0</v>
      </c>
      <c r="F31" s="307">
        <f>SUM(F33:F42)</f>
        <v>0</v>
      </c>
      <c r="G31" s="307">
        <f t="shared" ref="G31:BN31" si="26">SUM(G33:G42)</f>
        <v>0</v>
      </c>
      <c r="H31" s="307">
        <f t="shared" si="26"/>
        <v>0</v>
      </c>
      <c r="I31" s="307">
        <f t="shared" si="26"/>
        <v>0</v>
      </c>
      <c r="J31" s="307">
        <f t="shared" si="26"/>
        <v>0</v>
      </c>
      <c r="K31" s="307">
        <f t="shared" si="26"/>
        <v>0</v>
      </c>
      <c r="L31" s="307">
        <f t="shared" si="26"/>
        <v>0</v>
      </c>
      <c r="M31" s="307">
        <f t="shared" si="26"/>
        <v>0</v>
      </c>
      <c r="N31" s="307">
        <f t="shared" si="26"/>
        <v>0</v>
      </c>
      <c r="O31" s="307">
        <f t="shared" si="26"/>
        <v>0</v>
      </c>
      <c r="P31" s="307">
        <f t="shared" si="26"/>
        <v>0</v>
      </c>
      <c r="Q31" s="307">
        <f t="shared" si="26"/>
        <v>0</v>
      </c>
      <c r="R31" s="307">
        <f t="shared" si="26"/>
        <v>0</v>
      </c>
      <c r="S31" s="307">
        <f t="shared" si="26"/>
        <v>0</v>
      </c>
      <c r="T31" s="307">
        <f t="shared" si="26"/>
        <v>0</v>
      </c>
      <c r="U31" s="307">
        <f t="shared" si="26"/>
        <v>6.3086000000000002</v>
      </c>
      <c r="V31" s="307">
        <f t="shared" si="26"/>
        <v>1.8200000000000003</v>
      </c>
      <c r="W31" s="307">
        <f t="shared" si="26"/>
        <v>2.0615999999999999</v>
      </c>
      <c r="X31" s="307">
        <f t="shared" si="26"/>
        <v>0.04</v>
      </c>
      <c r="Y31" s="307">
        <f t="shared" si="26"/>
        <v>0.23</v>
      </c>
      <c r="Z31" s="307">
        <f t="shared" si="26"/>
        <v>0.60699999999999998</v>
      </c>
      <c r="AA31" s="391">
        <f>AB33+AC34+AD35+AE36+AF37+AG38+AH39+AI40+AJ41+AK42</f>
        <v>91.075400000000002</v>
      </c>
      <c r="AB31" s="307">
        <f>SUM(AB33:AB42)-AB33</f>
        <v>0</v>
      </c>
      <c r="AC31" s="307">
        <f>SUM(AC33:AC42)-AC34</f>
        <v>0</v>
      </c>
      <c r="AD31" s="307">
        <f>SUM(AD33:AD42)-AD35</f>
        <v>0.12000000000000011</v>
      </c>
      <c r="AE31" s="307">
        <f>SUM(AE33:AE42)-AE36</f>
        <v>0</v>
      </c>
      <c r="AF31" s="307">
        <f>SUM(AF33:AF42)-AF37</f>
        <v>0.16999999999999993</v>
      </c>
      <c r="AG31" s="307">
        <f>SUM(AG33:AG42)-AG38</f>
        <v>0</v>
      </c>
      <c r="AH31" s="307">
        <f>SUM(AH33:AH42)-AH39</f>
        <v>0</v>
      </c>
      <c r="AI31" s="307">
        <f>SUM(AI33:AI42)-AI40</f>
        <v>0</v>
      </c>
      <c r="AJ31" s="307">
        <f>SUM(AJ33:AJ42)-AJ41</f>
        <v>0</v>
      </c>
      <c r="AK31" s="307">
        <f>SUM(AK33:AK42)-AK42</f>
        <v>0</v>
      </c>
      <c r="AL31" s="307">
        <f t="shared" si="26"/>
        <v>1.04</v>
      </c>
      <c r="AM31" s="307">
        <f t="shared" si="26"/>
        <v>0.54</v>
      </c>
      <c r="AN31" s="307">
        <f t="shared" si="26"/>
        <v>0.5</v>
      </c>
      <c r="AO31" s="307">
        <f t="shared" si="26"/>
        <v>0</v>
      </c>
      <c r="AP31" s="307">
        <f t="shared" si="26"/>
        <v>0</v>
      </c>
      <c r="AQ31" s="307">
        <f t="shared" si="26"/>
        <v>0</v>
      </c>
      <c r="AR31" s="307">
        <f t="shared" si="26"/>
        <v>0</v>
      </c>
      <c r="AS31" s="307">
        <f t="shared" si="26"/>
        <v>0.22</v>
      </c>
      <c r="AT31" s="307">
        <f t="shared" si="26"/>
        <v>0</v>
      </c>
      <c r="AU31" s="307">
        <f t="shared" si="26"/>
        <v>0</v>
      </c>
      <c r="AV31" s="307">
        <f t="shared" si="26"/>
        <v>0</v>
      </c>
      <c r="AW31" s="307">
        <f t="shared" si="26"/>
        <v>0</v>
      </c>
      <c r="AX31" s="307">
        <f t="shared" si="26"/>
        <v>0</v>
      </c>
      <c r="AY31" s="307">
        <f t="shared" si="26"/>
        <v>0</v>
      </c>
      <c r="AZ31" s="307">
        <f t="shared" si="26"/>
        <v>0</v>
      </c>
      <c r="BA31" s="307">
        <f t="shared" si="26"/>
        <v>0</v>
      </c>
      <c r="BB31" s="307">
        <f t="shared" si="26"/>
        <v>0</v>
      </c>
      <c r="BC31" s="307">
        <f t="shared" si="26"/>
        <v>0.22</v>
      </c>
      <c r="BD31" s="307">
        <f t="shared" si="26"/>
        <v>0</v>
      </c>
      <c r="BE31" s="307">
        <f t="shared" si="26"/>
        <v>0</v>
      </c>
      <c r="BF31" s="307">
        <f t="shared" si="26"/>
        <v>0</v>
      </c>
      <c r="BG31" s="307">
        <f t="shared" si="26"/>
        <v>0</v>
      </c>
      <c r="BH31" s="307">
        <f t="shared" si="26"/>
        <v>0</v>
      </c>
      <c r="BI31" s="307">
        <f t="shared" si="26"/>
        <v>0</v>
      </c>
      <c r="BJ31" s="307">
        <f t="shared" si="26"/>
        <v>0</v>
      </c>
      <c r="BK31" s="307">
        <f t="shared" si="26"/>
        <v>0</v>
      </c>
      <c r="BL31" s="307">
        <f t="shared" si="26"/>
        <v>0</v>
      </c>
      <c r="BM31" s="307">
        <f t="shared" si="26"/>
        <v>0</v>
      </c>
      <c r="BN31" s="307">
        <f t="shared" si="26"/>
        <v>0</v>
      </c>
      <c r="BO31" s="307">
        <f>E31+SUM(V31:Z31)+AL31+AS31+SUM(BD31:BI31)</f>
        <v>6.0186000000000002</v>
      </c>
      <c r="BP31" s="308">
        <f>SUM(BP32:BP42)</f>
        <v>9.3632999999999988</v>
      </c>
      <c r="BQ31" s="307">
        <f>SUM(BQ33:BQ42)</f>
        <v>106.74730000000001</v>
      </c>
      <c r="BS31" s="68"/>
    </row>
    <row r="32" spans="1:71" s="67" customFormat="1" ht="16.5" customHeight="1">
      <c r="A32" s="388"/>
      <c r="B32" s="389" t="s">
        <v>176</v>
      </c>
      <c r="C32" s="388"/>
      <c r="D32" s="390">
        <f>'01CH'!D31</f>
        <v>0</v>
      </c>
      <c r="E32" s="307">
        <f t="shared" si="19"/>
        <v>0</v>
      </c>
      <c r="F32" s="307"/>
      <c r="G32" s="307"/>
      <c r="H32" s="307"/>
      <c r="I32" s="377"/>
      <c r="J32" s="377"/>
      <c r="K32" s="377"/>
      <c r="L32" s="377"/>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377"/>
      <c r="AM32" s="377"/>
      <c r="AN32" s="377"/>
      <c r="AO32" s="377"/>
      <c r="AP32" s="377"/>
      <c r="AQ32" s="377"/>
      <c r="AR32" s="377"/>
      <c r="AS32" s="377"/>
      <c r="AT32" s="377"/>
      <c r="AU32" s="377"/>
      <c r="AV32" s="377"/>
      <c r="AW32" s="377"/>
      <c r="AX32" s="377"/>
      <c r="AY32" s="377"/>
      <c r="AZ32" s="377"/>
      <c r="BA32" s="377"/>
      <c r="BB32" s="377"/>
      <c r="BC32" s="377"/>
      <c r="BD32" s="377"/>
      <c r="BE32" s="377"/>
      <c r="BF32" s="377"/>
      <c r="BG32" s="377"/>
      <c r="BH32" s="377"/>
      <c r="BI32" s="377"/>
      <c r="BJ32" s="377"/>
      <c r="BK32" s="377"/>
      <c r="BL32" s="377"/>
      <c r="BM32" s="377"/>
      <c r="BN32" s="377"/>
      <c r="BO32" s="307"/>
      <c r="BP32" s="308"/>
      <c r="BQ32" s="307">
        <f t="shared" si="10"/>
        <v>0</v>
      </c>
    </row>
    <row r="33" spans="1:71" s="67" customFormat="1" ht="16.5" customHeight="1">
      <c r="A33" s="388" t="s">
        <v>140</v>
      </c>
      <c r="B33" s="398" t="s">
        <v>109</v>
      </c>
      <c r="C33" s="399" t="s">
        <v>46</v>
      </c>
      <c r="D33" s="390">
        <f>'01CH'!D32</f>
        <v>4.0259999999999998</v>
      </c>
      <c r="E33" s="307">
        <f t="shared" si="19"/>
        <v>0</v>
      </c>
      <c r="F33" s="307">
        <f t="shared" ref="F33:F42" si="27">SUM(G33:H33)</f>
        <v>0</v>
      </c>
      <c r="G33" s="307"/>
      <c r="H33" s="307"/>
      <c r="I33" s="377"/>
      <c r="J33" s="377"/>
      <c r="K33" s="377"/>
      <c r="L33" s="377"/>
      <c r="M33" s="377">
        <f t="shared" ref="M33:M42" si="28">SUM(N33:P33)</f>
        <v>0</v>
      </c>
      <c r="N33" s="377"/>
      <c r="O33" s="377"/>
      <c r="P33" s="377"/>
      <c r="Q33" s="377"/>
      <c r="R33" s="377"/>
      <c r="S33" s="377"/>
      <c r="T33" s="377"/>
      <c r="U33" s="307">
        <f>SUM(V33:AA33)+AL33+AS33+SUM(BD33:BH33)</f>
        <v>0.73</v>
      </c>
      <c r="V33" s="377">
        <v>0</v>
      </c>
      <c r="W33" s="377">
        <v>0.73</v>
      </c>
      <c r="X33" s="377">
        <v>0</v>
      </c>
      <c r="Y33" s="377"/>
      <c r="Z33" s="377"/>
      <c r="AA33" s="377">
        <f>SUM(AB33:AK33)-AB33</f>
        <v>0</v>
      </c>
      <c r="AB33" s="393">
        <f>$D33-$BO33</f>
        <v>3.2959999999999998</v>
      </c>
      <c r="AC33" s="377"/>
      <c r="AD33" s="377"/>
      <c r="AE33" s="377"/>
      <c r="AF33" s="377"/>
      <c r="AG33" s="377"/>
      <c r="AH33" s="377"/>
      <c r="AI33" s="377"/>
      <c r="AJ33" s="377"/>
      <c r="AK33" s="377"/>
      <c r="AL33" s="377">
        <f t="shared" ref="AL33:AL42" si="29">SUM(AM33:AR33)</f>
        <v>0</v>
      </c>
      <c r="AM33" s="377"/>
      <c r="AN33" s="377"/>
      <c r="AO33" s="377"/>
      <c r="AP33" s="377"/>
      <c r="AQ33" s="377"/>
      <c r="AR33" s="377"/>
      <c r="AS33" s="377">
        <f t="shared" ref="AS33:AS42" si="30">SUM(AT33:BC33)</f>
        <v>0</v>
      </c>
      <c r="AT33" s="377"/>
      <c r="AU33" s="377"/>
      <c r="AV33" s="377"/>
      <c r="AW33" s="377"/>
      <c r="AX33" s="377"/>
      <c r="AY33" s="377"/>
      <c r="AZ33" s="377"/>
      <c r="BA33" s="377"/>
      <c r="BB33" s="377"/>
      <c r="BC33" s="377"/>
      <c r="BD33" s="377"/>
      <c r="BE33" s="377"/>
      <c r="BF33" s="377"/>
      <c r="BG33" s="377"/>
      <c r="BH33" s="377"/>
      <c r="BI33" s="377">
        <f t="shared" ref="BI33:BI42" si="31">SUM(BJ33:BN33)</f>
        <v>0</v>
      </c>
      <c r="BJ33" s="377"/>
      <c r="BK33" s="377"/>
      <c r="BL33" s="377"/>
      <c r="BM33" s="377"/>
      <c r="BN33" s="377"/>
      <c r="BO33" s="307">
        <f>E33+SUM(V33:Z33)+SUM(AC33:AL33)+AS33+SUM(BD33:BI33)</f>
        <v>0.73</v>
      </c>
      <c r="BP33" s="308">
        <f>AB73-BO33</f>
        <v>5.4139999999999997</v>
      </c>
      <c r="BQ33" s="307">
        <f t="shared" si="10"/>
        <v>9.44</v>
      </c>
    </row>
    <row r="34" spans="1:71" s="67" customFormat="1" ht="16.5" customHeight="1">
      <c r="A34" s="388" t="s">
        <v>140</v>
      </c>
      <c r="B34" s="389" t="s">
        <v>1785</v>
      </c>
      <c r="C34" s="388" t="s">
        <v>51</v>
      </c>
      <c r="D34" s="390">
        <f>'01CH'!D33</f>
        <v>0.18</v>
      </c>
      <c r="E34" s="307">
        <f t="shared" si="19"/>
        <v>0</v>
      </c>
      <c r="F34" s="307">
        <f t="shared" si="27"/>
        <v>0</v>
      </c>
      <c r="G34" s="307"/>
      <c r="H34" s="307"/>
      <c r="I34" s="377"/>
      <c r="J34" s="377"/>
      <c r="K34" s="377"/>
      <c r="L34" s="377"/>
      <c r="M34" s="377">
        <f t="shared" si="28"/>
        <v>0</v>
      </c>
      <c r="N34" s="377"/>
      <c r="O34" s="377"/>
      <c r="P34" s="377"/>
      <c r="Q34" s="377"/>
      <c r="R34" s="377"/>
      <c r="S34" s="377"/>
      <c r="T34" s="377"/>
      <c r="U34" s="307">
        <f t="shared" ref="U34:U42" si="32">SUM(V34:AA34)+AL34+AS34+SUM(BD34:BH34)</f>
        <v>0</v>
      </c>
      <c r="V34" s="377"/>
      <c r="W34" s="377"/>
      <c r="X34" s="377"/>
      <c r="Y34" s="377"/>
      <c r="Z34" s="377"/>
      <c r="AA34" s="377">
        <f>SUM(AB34:AK34)-AC34</f>
        <v>0</v>
      </c>
      <c r="AB34" s="377"/>
      <c r="AC34" s="393">
        <f>$D34-$BO34</f>
        <v>0.18</v>
      </c>
      <c r="AD34" s="377"/>
      <c r="AE34" s="377"/>
      <c r="AF34" s="377"/>
      <c r="AG34" s="377"/>
      <c r="AH34" s="377"/>
      <c r="AI34" s="377"/>
      <c r="AJ34" s="377"/>
      <c r="AK34" s="377"/>
      <c r="AL34" s="377">
        <f t="shared" si="29"/>
        <v>0</v>
      </c>
      <c r="AM34" s="377"/>
      <c r="AN34" s="377"/>
      <c r="AO34" s="377"/>
      <c r="AP34" s="377"/>
      <c r="AQ34" s="377"/>
      <c r="AR34" s="377"/>
      <c r="AS34" s="377">
        <f t="shared" si="30"/>
        <v>0</v>
      </c>
      <c r="AT34" s="377"/>
      <c r="AU34" s="377"/>
      <c r="AV34" s="377"/>
      <c r="AW34" s="377"/>
      <c r="AX34" s="377"/>
      <c r="AY34" s="377"/>
      <c r="AZ34" s="377"/>
      <c r="BA34" s="377"/>
      <c r="BB34" s="377"/>
      <c r="BC34" s="377"/>
      <c r="BD34" s="377"/>
      <c r="BE34" s="377"/>
      <c r="BF34" s="377"/>
      <c r="BG34" s="377"/>
      <c r="BH34" s="377"/>
      <c r="BI34" s="377">
        <f t="shared" si="31"/>
        <v>0</v>
      </c>
      <c r="BJ34" s="377"/>
      <c r="BK34" s="377"/>
      <c r="BL34" s="377"/>
      <c r="BM34" s="377"/>
      <c r="BN34" s="377"/>
      <c r="BO34" s="307">
        <f>E34+SUM(V34:Z34)+AB34+SUM(AD34:AL34)+AS34+SUM(BD34:BI34)</f>
        <v>0</v>
      </c>
      <c r="BP34" s="308">
        <f>AC73-BO34</f>
        <v>0.2979</v>
      </c>
      <c r="BQ34" s="307">
        <f t="shared" si="10"/>
        <v>0.47789999999999999</v>
      </c>
    </row>
    <row r="35" spans="1:71" s="67" customFormat="1" ht="16.5" customHeight="1">
      <c r="A35" s="388" t="s">
        <v>140</v>
      </c>
      <c r="B35" s="389" t="s">
        <v>111</v>
      </c>
      <c r="C35" s="388" t="s">
        <v>47</v>
      </c>
      <c r="D35" s="390">
        <f>'01CH'!D34</f>
        <v>7.450000000000002</v>
      </c>
      <c r="E35" s="307">
        <f t="shared" si="19"/>
        <v>0</v>
      </c>
      <c r="F35" s="307">
        <f t="shared" si="27"/>
        <v>0</v>
      </c>
      <c r="G35" s="307"/>
      <c r="H35" s="307"/>
      <c r="I35" s="377"/>
      <c r="J35" s="377"/>
      <c r="K35" s="377"/>
      <c r="L35" s="377"/>
      <c r="M35" s="377">
        <f t="shared" si="28"/>
        <v>0</v>
      </c>
      <c r="N35" s="377"/>
      <c r="O35" s="377"/>
      <c r="P35" s="377"/>
      <c r="Q35" s="377"/>
      <c r="R35" s="377"/>
      <c r="S35" s="377"/>
      <c r="T35" s="377"/>
      <c r="U35" s="307">
        <f t="shared" si="32"/>
        <v>0.23699999999999999</v>
      </c>
      <c r="V35" s="377">
        <v>0.09</v>
      </c>
      <c r="W35" s="377">
        <v>0</v>
      </c>
      <c r="X35" s="377">
        <v>0</v>
      </c>
      <c r="Y35" s="377">
        <v>0</v>
      </c>
      <c r="Z35" s="377">
        <v>7.6999999999999999E-2</v>
      </c>
      <c r="AA35" s="377">
        <f>SUM(AB35:AK35)-AD35</f>
        <v>0</v>
      </c>
      <c r="AB35" s="377"/>
      <c r="AC35" s="377"/>
      <c r="AD35" s="393">
        <f>$D35-$BO35</f>
        <v>7.2130000000000019</v>
      </c>
      <c r="AE35" s="377"/>
      <c r="AF35" s="377"/>
      <c r="AG35" s="377"/>
      <c r="AH35" s="377"/>
      <c r="AI35" s="377"/>
      <c r="AJ35" s="377"/>
      <c r="AK35" s="377"/>
      <c r="AL35" s="377">
        <f t="shared" si="29"/>
        <v>0</v>
      </c>
      <c r="AM35" s="377"/>
      <c r="AN35" s="377"/>
      <c r="AO35" s="377"/>
      <c r="AP35" s="377"/>
      <c r="AQ35" s="377"/>
      <c r="AR35" s="377"/>
      <c r="AS35" s="377">
        <f t="shared" si="30"/>
        <v>7.0000000000000007E-2</v>
      </c>
      <c r="AT35" s="377"/>
      <c r="AU35" s="377"/>
      <c r="AV35" s="377"/>
      <c r="AW35" s="377"/>
      <c r="AX35" s="377"/>
      <c r="AY35" s="377"/>
      <c r="AZ35" s="377"/>
      <c r="BA35" s="377"/>
      <c r="BB35" s="377"/>
      <c r="BC35" s="377">
        <v>7.0000000000000007E-2</v>
      </c>
      <c r="BD35" s="377"/>
      <c r="BE35" s="377"/>
      <c r="BF35" s="377"/>
      <c r="BG35" s="377"/>
      <c r="BH35" s="377"/>
      <c r="BI35" s="377">
        <f t="shared" si="31"/>
        <v>0</v>
      </c>
      <c r="BJ35" s="377"/>
      <c r="BK35" s="377"/>
      <c r="BL35" s="377"/>
      <c r="BM35" s="377"/>
      <c r="BN35" s="377"/>
      <c r="BO35" s="307">
        <f>E35+SUM(V35:Z35)+SUM(AB35:AC35)+SUM(AE35:AL35)+AS35+SUM(BD35:BI35)</f>
        <v>0.23699999999999999</v>
      </c>
      <c r="BP35" s="308">
        <f>AD73-BO35</f>
        <v>1.4430000000000005</v>
      </c>
      <c r="BQ35" s="307">
        <f t="shared" si="10"/>
        <v>8.8930000000000025</v>
      </c>
    </row>
    <row r="36" spans="1:71" s="67" customFormat="1" ht="16.5" customHeight="1">
      <c r="A36" s="388" t="s">
        <v>140</v>
      </c>
      <c r="B36" s="389" t="s">
        <v>166</v>
      </c>
      <c r="C36" s="388" t="s">
        <v>48</v>
      </c>
      <c r="D36" s="390">
        <f>'01CH'!D35</f>
        <v>75.915999999999997</v>
      </c>
      <c r="E36" s="307">
        <f t="shared" si="19"/>
        <v>0</v>
      </c>
      <c r="F36" s="307">
        <f t="shared" si="27"/>
        <v>0</v>
      </c>
      <c r="G36" s="307"/>
      <c r="H36" s="307"/>
      <c r="I36" s="377"/>
      <c r="J36" s="377"/>
      <c r="K36" s="377"/>
      <c r="L36" s="377"/>
      <c r="M36" s="377">
        <f t="shared" si="28"/>
        <v>0</v>
      </c>
      <c r="N36" s="377"/>
      <c r="O36" s="377"/>
      <c r="P36" s="377"/>
      <c r="Q36" s="377"/>
      <c r="R36" s="377"/>
      <c r="S36" s="377"/>
      <c r="T36" s="377"/>
      <c r="U36" s="307">
        <f t="shared" si="32"/>
        <v>3.2516000000000003</v>
      </c>
      <c r="V36" s="377">
        <v>0.86000000000000021</v>
      </c>
      <c r="W36" s="377">
        <v>0.11159999999999999</v>
      </c>
      <c r="X36" s="377">
        <v>0.04</v>
      </c>
      <c r="Y36" s="377">
        <v>0.23</v>
      </c>
      <c r="Z36" s="377">
        <v>0.53</v>
      </c>
      <c r="AA36" s="377">
        <f>SUM(AB36:AD36)+SUM(AF36:AK36)</f>
        <v>0.29000000000000004</v>
      </c>
      <c r="AB36" s="377"/>
      <c r="AC36" s="377"/>
      <c r="AD36" s="377">
        <v>0.12</v>
      </c>
      <c r="AE36" s="393">
        <f>$D36-$BO36</f>
        <v>72.664400000000001</v>
      </c>
      <c r="AF36" s="377">
        <v>0.17</v>
      </c>
      <c r="AG36" s="377"/>
      <c r="AH36" s="377"/>
      <c r="AI36" s="377"/>
      <c r="AJ36" s="377"/>
      <c r="AK36" s="377"/>
      <c r="AL36" s="377">
        <f t="shared" si="29"/>
        <v>1.04</v>
      </c>
      <c r="AM36" s="377">
        <v>0.54</v>
      </c>
      <c r="AN36" s="377">
        <v>0.5</v>
      </c>
      <c r="AO36" s="377"/>
      <c r="AP36" s="377"/>
      <c r="AQ36" s="377"/>
      <c r="AR36" s="377"/>
      <c r="AS36" s="377">
        <f t="shared" si="30"/>
        <v>0.15</v>
      </c>
      <c r="AT36" s="377"/>
      <c r="AU36" s="377"/>
      <c r="AV36" s="377"/>
      <c r="AW36" s="377"/>
      <c r="AX36" s="377"/>
      <c r="AY36" s="377"/>
      <c r="AZ36" s="377"/>
      <c r="BA36" s="377"/>
      <c r="BB36" s="377"/>
      <c r="BC36" s="377">
        <v>0.15</v>
      </c>
      <c r="BD36" s="377"/>
      <c r="BE36" s="377"/>
      <c r="BF36" s="377"/>
      <c r="BG36" s="377"/>
      <c r="BH36" s="377"/>
      <c r="BI36" s="377">
        <f t="shared" si="31"/>
        <v>0</v>
      </c>
      <c r="BJ36" s="377"/>
      <c r="BK36" s="377"/>
      <c r="BL36" s="377"/>
      <c r="BM36" s="377"/>
      <c r="BN36" s="377"/>
      <c r="BO36" s="307">
        <f>E36+SUM(V36:AA36)+AL36+AS36+SUM(BD36:BI36)</f>
        <v>3.2516000000000003</v>
      </c>
      <c r="BP36" s="308">
        <f>AE73-BO36</f>
        <v>1.6683999999999997</v>
      </c>
      <c r="BQ36" s="307">
        <f t="shared" si="10"/>
        <v>77.584400000000002</v>
      </c>
      <c r="BR36" s="68"/>
      <c r="BS36" s="68"/>
    </row>
    <row r="37" spans="1:71" s="67" customFormat="1" ht="16.5" customHeight="1">
      <c r="A37" s="388" t="s">
        <v>140</v>
      </c>
      <c r="B37" s="389" t="s">
        <v>1786</v>
      </c>
      <c r="C37" s="388" t="s">
        <v>49</v>
      </c>
      <c r="D37" s="390">
        <f>'01CH'!D36</f>
        <v>9.8119999999999994</v>
      </c>
      <c r="E37" s="307">
        <f t="shared" si="19"/>
        <v>0</v>
      </c>
      <c r="F37" s="307">
        <f t="shared" si="27"/>
        <v>0</v>
      </c>
      <c r="G37" s="307"/>
      <c r="H37" s="307"/>
      <c r="I37" s="377"/>
      <c r="J37" s="377"/>
      <c r="K37" s="377"/>
      <c r="L37" s="377"/>
      <c r="M37" s="377">
        <f t="shared" si="28"/>
        <v>0</v>
      </c>
      <c r="N37" s="377"/>
      <c r="O37" s="377"/>
      <c r="P37" s="377"/>
      <c r="Q37" s="377"/>
      <c r="R37" s="377"/>
      <c r="S37" s="377"/>
      <c r="T37" s="377"/>
      <c r="U37" s="307">
        <f t="shared" si="32"/>
        <v>2.09</v>
      </c>
      <c r="V37" s="377">
        <v>0.87</v>
      </c>
      <c r="W37" s="377">
        <v>1.22</v>
      </c>
      <c r="X37" s="377">
        <v>0</v>
      </c>
      <c r="Y37" s="377"/>
      <c r="Z37" s="377"/>
      <c r="AA37" s="377">
        <f>SUM(AB37:AK37)-AF37</f>
        <v>0</v>
      </c>
      <c r="AB37" s="377"/>
      <c r="AC37" s="377"/>
      <c r="AD37" s="377"/>
      <c r="AE37" s="377"/>
      <c r="AF37" s="393">
        <f>$D37-$BO37</f>
        <v>7.7219999999999995</v>
      </c>
      <c r="AG37" s="377"/>
      <c r="AH37" s="377"/>
      <c r="AI37" s="377"/>
      <c r="AJ37" s="377"/>
      <c r="AK37" s="377"/>
      <c r="AL37" s="377">
        <f t="shared" si="29"/>
        <v>0</v>
      </c>
      <c r="AM37" s="377"/>
      <c r="AN37" s="377"/>
      <c r="AO37" s="377"/>
      <c r="AP37" s="377"/>
      <c r="AQ37" s="377"/>
      <c r="AR37" s="377"/>
      <c r="AS37" s="377">
        <f t="shared" si="30"/>
        <v>0</v>
      </c>
      <c r="AT37" s="377"/>
      <c r="AU37" s="377"/>
      <c r="AV37" s="377"/>
      <c r="AW37" s="377"/>
      <c r="AX37" s="377"/>
      <c r="AY37" s="377"/>
      <c r="AZ37" s="377"/>
      <c r="BA37" s="377"/>
      <c r="BB37" s="377"/>
      <c r="BC37" s="377"/>
      <c r="BD37" s="377"/>
      <c r="BE37" s="377"/>
      <c r="BF37" s="377"/>
      <c r="BG37" s="377"/>
      <c r="BH37" s="377"/>
      <c r="BI37" s="377">
        <f t="shared" si="31"/>
        <v>0</v>
      </c>
      <c r="BJ37" s="377"/>
      <c r="BK37" s="377"/>
      <c r="BL37" s="377"/>
      <c r="BM37" s="377"/>
      <c r="BN37" s="377"/>
      <c r="BO37" s="307">
        <f>E37+SUM(V37:Z37)+SUM(AB37:AE37)+SUM(AG37:AL37)+AS37+SUM(BD37:BI37)</f>
        <v>2.09</v>
      </c>
      <c r="BP37" s="308">
        <f>AF73-BO37</f>
        <v>0.54</v>
      </c>
      <c r="BQ37" s="307">
        <f t="shared" si="10"/>
        <v>10.352</v>
      </c>
      <c r="BR37" s="68"/>
      <c r="BS37" s="68"/>
    </row>
    <row r="38" spans="1:71" s="67" customFormat="1" ht="16.5" customHeight="1">
      <c r="A38" s="388" t="s">
        <v>140</v>
      </c>
      <c r="B38" s="389" t="s">
        <v>113</v>
      </c>
      <c r="C38" s="388" t="s">
        <v>50</v>
      </c>
      <c r="D38" s="390">
        <f>'01CH'!D37</f>
        <v>0</v>
      </c>
      <c r="E38" s="307">
        <f t="shared" si="19"/>
        <v>0</v>
      </c>
      <c r="F38" s="307">
        <f t="shared" si="27"/>
        <v>0</v>
      </c>
      <c r="G38" s="307"/>
      <c r="H38" s="307"/>
      <c r="I38" s="377"/>
      <c r="J38" s="377"/>
      <c r="K38" s="377"/>
      <c r="L38" s="377"/>
      <c r="M38" s="377">
        <f t="shared" si="28"/>
        <v>0</v>
      </c>
      <c r="N38" s="377"/>
      <c r="O38" s="377"/>
      <c r="P38" s="377"/>
      <c r="Q38" s="377"/>
      <c r="R38" s="377"/>
      <c r="S38" s="377"/>
      <c r="T38" s="377"/>
      <c r="U38" s="307">
        <f t="shared" si="32"/>
        <v>0</v>
      </c>
      <c r="V38" s="377"/>
      <c r="W38" s="377"/>
      <c r="X38" s="377"/>
      <c r="Y38" s="377"/>
      <c r="Z38" s="377"/>
      <c r="AA38" s="377">
        <f>SUM(AB38:AK38)-AG38</f>
        <v>0</v>
      </c>
      <c r="AB38" s="377"/>
      <c r="AC38" s="377"/>
      <c r="AD38" s="377"/>
      <c r="AE38" s="377"/>
      <c r="AF38" s="377"/>
      <c r="AG38" s="393">
        <f>$D38-$BO38</f>
        <v>0</v>
      </c>
      <c r="AH38" s="377"/>
      <c r="AI38" s="377"/>
      <c r="AJ38" s="377"/>
      <c r="AK38" s="377"/>
      <c r="AL38" s="377">
        <f t="shared" si="29"/>
        <v>0</v>
      </c>
      <c r="AM38" s="377"/>
      <c r="AN38" s="377"/>
      <c r="AO38" s="377"/>
      <c r="AP38" s="377"/>
      <c r="AQ38" s="377"/>
      <c r="AR38" s="377"/>
      <c r="AS38" s="377">
        <f t="shared" si="30"/>
        <v>0</v>
      </c>
      <c r="AT38" s="377"/>
      <c r="AU38" s="377"/>
      <c r="AV38" s="377"/>
      <c r="AW38" s="377"/>
      <c r="AX38" s="377"/>
      <c r="AY38" s="377"/>
      <c r="AZ38" s="377"/>
      <c r="BA38" s="377"/>
      <c r="BB38" s="377"/>
      <c r="BC38" s="377"/>
      <c r="BD38" s="377"/>
      <c r="BE38" s="377"/>
      <c r="BF38" s="377"/>
      <c r="BG38" s="377"/>
      <c r="BH38" s="377"/>
      <c r="BI38" s="377">
        <f t="shared" si="31"/>
        <v>0</v>
      </c>
      <c r="BJ38" s="377"/>
      <c r="BK38" s="377"/>
      <c r="BL38" s="377"/>
      <c r="BM38" s="377"/>
      <c r="BN38" s="377"/>
      <c r="BO38" s="307">
        <f>E38+SUM(V38:Z38)+SUM(AB38:AF38)+SUM(AH38:AL38)+AS38+SUM(BD38:BI38)</f>
        <v>0</v>
      </c>
      <c r="BP38" s="307">
        <f>AG73-BO38</f>
        <v>0</v>
      </c>
      <c r="BQ38" s="307">
        <f t="shared" si="10"/>
        <v>0</v>
      </c>
    </row>
    <row r="39" spans="1:71" s="67" customFormat="1" ht="16.5" customHeight="1">
      <c r="A39" s="388" t="s">
        <v>140</v>
      </c>
      <c r="B39" s="389" t="s">
        <v>1787</v>
      </c>
      <c r="C39" s="388" t="s">
        <v>1812</v>
      </c>
      <c r="D39" s="390">
        <f>'01CH'!D38</f>
        <v>0</v>
      </c>
      <c r="E39" s="307">
        <f t="shared" si="19"/>
        <v>0</v>
      </c>
      <c r="F39" s="307">
        <f t="shared" si="27"/>
        <v>0</v>
      </c>
      <c r="G39" s="307"/>
      <c r="H39" s="307"/>
      <c r="I39" s="377"/>
      <c r="J39" s="377"/>
      <c r="K39" s="377"/>
      <c r="L39" s="377"/>
      <c r="M39" s="377">
        <f t="shared" si="28"/>
        <v>0</v>
      </c>
      <c r="N39" s="377"/>
      <c r="O39" s="377"/>
      <c r="P39" s="377"/>
      <c r="Q39" s="377"/>
      <c r="R39" s="377"/>
      <c r="S39" s="377"/>
      <c r="T39" s="377"/>
      <c r="U39" s="307">
        <f t="shared" si="32"/>
        <v>0</v>
      </c>
      <c r="V39" s="377"/>
      <c r="W39" s="377"/>
      <c r="X39" s="377"/>
      <c r="Y39" s="377"/>
      <c r="Z39" s="377"/>
      <c r="AA39" s="377">
        <f>SUM(AB39:AK39)-AH39</f>
        <v>0</v>
      </c>
      <c r="AB39" s="377"/>
      <c r="AC39" s="377"/>
      <c r="AD39" s="377"/>
      <c r="AE39" s="377"/>
      <c r="AF39" s="377"/>
      <c r="AG39" s="377"/>
      <c r="AH39" s="393">
        <f>$D39-$BO39</f>
        <v>0</v>
      </c>
      <c r="AI39" s="377"/>
      <c r="AJ39" s="377"/>
      <c r="AK39" s="377"/>
      <c r="AL39" s="377">
        <f t="shared" si="29"/>
        <v>0</v>
      </c>
      <c r="AM39" s="377"/>
      <c r="AN39" s="377"/>
      <c r="AO39" s="377"/>
      <c r="AP39" s="377"/>
      <c r="AQ39" s="377"/>
      <c r="AR39" s="377"/>
      <c r="AS39" s="377">
        <f t="shared" si="30"/>
        <v>0</v>
      </c>
      <c r="AT39" s="377"/>
      <c r="AU39" s="377"/>
      <c r="AV39" s="377"/>
      <c r="AW39" s="377"/>
      <c r="AX39" s="377"/>
      <c r="AY39" s="377"/>
      <c r="AZ39" s="377"/>
      <c r="BA39" s="377"/>
      <c r="BB39" s="377"/>
      <c r="BC39" s="377"/>
      <c r="BD39" s="377"/>
      <c r="BE39" s="377"/>
      <c r="BF39" s="377"/>
      <c r="BG39" s="377"/>
      <c r="BH39" s="377"/>
      <c r="BI39" s="377">
        <f t="shared" si="31"/>
        <v>0</v>
      </c>
      <c r="BJ39" s="377"/>
      <c r="BK39" s="377"/>
      <c r="BL39" s="377"/>
      <c r="BM39" s="377"/>
      <c r="BN39" s="377"/>
      <c r="BO39" s="307">
        <f>E39+SUM(V39:Z39)+SUM(AB39:AG39)+SUM(AI39:AL39)+AS39+SUM(BD39:BI39)</f>
        <v>0</v>
      </c>
      <c r="BP39" s="307">
        <f>AH73-BO39</f>
        <v>0</v>
      </c>
      <c r="BQ39" s="307">
        <f t="shared" si="10"/>
        <v>0</v>
      </c>
    </row>
    <row r="40" spans="1:71" s="67" customFormat="1" ht="16.5" customHeight="1">
      <c r="A40" s="388" t="s">
        <v>140</v>
      </c>
      <c r="B40" s="389" t="s">
        <v>1788</v>
      </c>
      <c r="C40" s="388" t="s">
        <v>1813</v>
      </c>
      <c r="D40" s="390">
        <f>'01CH'!D39</f>
        <v>0</v>
      </c>
      <c r="E40" s="307">
        <f t="shared" si="19"/>
        <v>0</v>
      </c>
      <c r="F40" s="307">
        <f t="shared" si="27"/>
        <v>0</v>
      </c>
      <c r="G40" s="307"/>
      <c r="H40" s="307"/>
      <c r="I40" s="377"/>
      <c r="J40" s="377"/>
      <c r="K40" s="377"/>
      <c r="L40" s="377"/>
      <c r="M40" s="377">
        <f t="shared" si="28"/>
        <v>0</v>
      </c>
      <c r="N40" s="377"/>
      <c r="O40" s="377"/>
      <c r="P40" s="377"/>
      <c r="Q40" s="377"/>
      <c r="R40" s="377"/>
      <c r="S40" s="377"/>
      <c r="T40" s="377"/>
      <c r="U40" s="307">
        <f t="shared" si="32"/>
        <v>0</v>
      </c>
      <c r="V40" s="377"/>
      <c r="W40" s="377"/>
      <c r="X40" s="377"/>
      <c r="Y40" s="377"/>
      <c r="Z40" s="377"/>
      <c r="AA40" s="377">
        <f>SUM(AB40:AK40)-AI40</f>
        <v>0</v>
      </c>
      <c r="AB40" s="377"/>
      <c r="AC40" s="377"/>
      <c r="AD40" s="377"/>
      <c r="AE40" s="377"/>
      <c r="AF40" s="377"/>
      <c r="AG40" s="377"/>
      <c r="AH40" s="377"/>
      <c r="AI40" s="393">
        <f>$D40-$BO40</f>
        <v>0</v>
      </c>
      <c r="AJ40" s="377"/>
      <c r="AK40" s="377"/>
      <c r="AL40" s="377">
        <f t="shared" si="29"/>
        <v>0</v>
      </c>
      <c r="AM40" s="377"/>
      <c r="AN40" s="377"/>
      <c r="AO40" s="377"/>
      <c r="AP40" s="377"/>
      <c r="AQ40" s="377"/>
      <c r="AR40" s="377"/>
      <c r="AS40" s="377">
        <f t="shared" si="30"/>
        <v>0</v>
      </c>
      <c r="AT40" s="377"/>
      <c r="AU40" s="377"/>
      <c r="AV40" s="377"/>
      <c r="AW40" s="377"/>
      <c r="AX40" s="377"/>
      <c r="AY40" s="377"/>
      <c r="AZ40" s="377"/>
      <c r="BA40" s="377"/>
      <c r="BB40" s="377"/>
      <c r="BC40" s="377"/>
      <c r="BD40" s="377"/>
      <c r="BE40" s="377"/>
      <c r="BF40" s="377"/>
      <c r="BG40" s="377"/>
      <c r="BH40" s="377"/>
      <c r="BI40" s="377">
        <f t="shared" si="31"/>
        <v>0</v>
      </c>
      <c r="BJ40" s="377"/>
      <c r="BK40" s="377"/>
      <c r="BL40" s="377"/>
      <c r="BM40" s="377"/>
      <c r="BN40" s="377"/>
      <c r="BO40" s="307">
        <f>E40+SUM(V40:Z40)+SUM(AB40:AH40)+SUM(AJ40:AL40)+AS40+SUM(BD40:BI40)</f>
        <v>0</v>
      </c>
      <c r="BP40" s="307">
        <f>AI73-BO40</f>
        <v>0</v>
      </c>
      <c r="BQ40" s="307">
        <f t="shared" si="10"/>
        <v>0</v>
      </c>
    </row>
    <row r="41" spans="1:71" s="67" customFormat="1" ht="16.5" customHeight="1">
      <c r="A41" s="388" t="s">
        <v>140</v>
      </c>
      <c r="B41" s="389" t="s">
        <v>97</v>
      </c>
      <c r="C41" s="388" t="s">
        <v>98</v>
      </c>
      <c r="D41" s="390">
        <f>'01CH'!D40</f>
        <v>0</v>
      </c>
      <c r="E41" s="307">
        <f t="shared" si="19"/>
        <v>0</v>
      </c>
      <c r="F41" s="307">
        <f t="shared" si="27"/>
        <v>0</v>
      </c>
      <c r="G41" s="307"/>
      <c r="H41" s="307"/>
      <c r="I41" s="377"/>
      <c r="J41" s="377"/>
      <c r="K41" s="377"/>
      <c r="L41" s="377"/>
      <c r="M41" s="377">
        <f t="shared" si="28"/>
        <v>0</v>
      </c>
      <c r="N41" s="377"/>
      <c r="O41" s="377"/>
      <c r="P41" s="377"/>
      <c r="Q41" s="377"/>
      <c r="R41" s="377"/>
      <c r="S41" s="377"/>
      <c r="T41" s="377"/>
      <c r="U41" s="307">
        <f t="shared" si="32"/>
        <v>0</v>
      </c>
      <c r="V41" s="377"/>
      <c r="W41" s="377"/>
      <c r="X41" s="377"/>
      <c r="Y41" s="377"/>
      <c r="Z41" s="377"/>
      <c r="AA41" s="377">
        <f>SUM(AB41:AK41)-AJ41</f>
        <v>0</v>
      </c>
      <c r="AB41" s="377"/>
      <c r="AC41" s="377"/>
      <c r="AD41" s="377"/>
      <c r="AE41" s="377"/>
      <c r="AF41" s="377"/>
      <c r="AG41" s="377"/>
      <c r="AH41" s="377"/>
      <c r="AI41" s="377"/>
      <c r="AJ41" s="393">
        <f>$D41-$BO41</f>
        <v>0</v>
      </c>
      <c r="AK41" s="377"/>
      <c r="AL41" s="377">
        <f t="shared" si="29"/>
        <v>0</v>
      </c>
      <c r="AM41" s="377"/>
      <c r="AN41" s="377"/>
      <c r="AO41" s="377"/>
      <c r="AP41" s="377"/>
      <c r="AQ41" s="377"/>
      <c r="AR41" s="377"/>
      <c r="AS41" s="377">
        <f t="shared" si="30"/>
        <v>0</v>
      </c>
      <c r="AT41" s="377"/>
      <c r="AU41" s="377"/>
      <c r="AV41" s="377"/>
      <c r="AW41" s="377"/>
      <c r="AX41" s="377"/>
      <c r="AY41" s="377"/>
      <c r="AZ41" s="377"/>
      <c r="BA41" s="377"/>
      <c r="BB41" s="377"/>
      <c r="BC41" s="377"/>
      <c r="BD41" s="377"/>
      <c r="BE41" s="377"/>
      <c r="BF41" s="377"/>
      <c r="BG41" s="377"/>
      <c r="BH41" s="377"/>
      <c r="BI41" s="377">
        <f t="shared" si="31"/>
        <v>0</v>
      </c>
      <c r="BJ41" s="377"/>
      <c r="BK41" s="377"/>
      <c r="BL41" s="377"/>
      <c r="BM41" s="377"/>
      <c r="BN41" s="377"/>
      <c r="BO41" s="307">
        <f>E41+SUM(V41:Z41)+SUM(AB41:AI41)+AK41+AL41+AS41+SUM(BD41:BI41)</f>
        <v>0</v>
      </c>
      <c r="BP41" s="307">
        <f>AJ73-BO41</f>
        <v>0</v>
      </c>
      <c r="BQ41" s="307">
        <f t="shared" si="10"/>
        <v>0</v>
      </c>
    </row>
    <row r="42" spans="1:71" s="67" customFormat="1" ht="16.5" customHeight="1">
      <c r="A42" s="388" t="s">
        <v>140</v>
      </c>
      <c r="B42" s="389" t="s">
        <v>114</v>
      </c>
      <c r="C42" s="388" t="s">
        <v>116</v>
      </c>
      <c r="D42" s="390">
        <f>'01CH'!D41</f>
        <v>0</v>
      </c>
      <c r="E42" s="307">
        <f t="shared" si="19"/>
        <v>0</v>
      </c>
      <c r="F42" s="307">
        <f t="shared" si="27"/>
        <v>0</v>
      </c>
      <c r="G42" s="307"/>
      <c r="H42" s="307"/>
      <c r="I42" s="377"/>
      <c r="J42" s="377"/>
      <c r="K42" s="377"/>
      <c r="L42" s="377"/>
      <c r="M42" s="377">
        <f t="shared" si="28"/>
        <v>0</v>
      </c>
      <c r="N42" s="377"/>
      <c r="O42" s="377"/>
      <c r="P42" s="377"/>
      <c r="Q42" s="377"/>
      <c r="R42" s="377"/>
      <c r="S42" s="377"/>
      <c r="T42" s="377"/>
      <c r="U42" s="307">
        <f t="shared" si="32"/>
        <v>0</v>
      </c>
      <c r="V42" s="377"/>
      <c r="W42" s="377"/>
      <c r="X42" s="377"/>
      <c r="Y42" s="377"/>
      <c r="Z42" s="377"/>
      <c r="AA42" s="377">
        <f>SUM(AB42:AK42)-AK42</f>
        <v>0</v>
      </c>
      <c r="AB42" s="377"/>
      <c r="AC42" s="377"/>
      <c r="AD42" s="377"/>
      <c r="AE42" s="377"/>
      <c r="AF42" s="377"/>
      <c r="AG42" s="377"/>
      <c r="AH42" s="377"/>
      <c r="AI42" s="377"/>
      <c r="AJ42" s="377"/>
      <c r="AK42" s="393">
        <f>$D42-$BO42</f>
        <v>0</v>
      </c>
      <c r="AL42" s="377">
        <f t="shared" si="29"/>
        <v>0</v>
      </c>
      <c r="AM42" s="377"/>
      <c r="AN42" s="377"/>
      <c r="AO42" s="377"/>
      <c r="AP42" s="377"/>
      <c r="AQ42" s="377"/>
      <c r="AR42" s="377"/>
      <c r="AS42" s="377">
        <f t="shared" si="30"/>
        <v>0</v>
      </c>
      <c r="AT42" s="377"/>
      <c r="AU42" s="377"/>
      <c r="AV42" s="377"/>
      <c r="AW42" s="377"/>
      <c r="AX42" s="377"/>
      <c r="AY42" s="377"/>
      <c r="AZ42" s="377"/>
      <c r="BA42" s="377"/>
      <c r="BB42" s="377"/>
      <c r="BC42" s="377"/>
      <c r="BD42" s="377"/>
      <c r="BE42" s="377"/>
      <c r="BF42" s="377"/>
      <c r="BG42" s="377"/>
      <c r="BH42" s="377"/>
      <c r="BI42" s="377">
        <f t="shared" si="31"/>
        <v>0</v>
      </c>
      <c r="BJ42" s="377"/>
      <c r="BK42" s="377"/>
      <c r="BL42" s="377"/>
      <c r="BM42" s="377"/>
      <c r="BN42" s="377"/>
      <c r="BO42" s="307">
        <f>E42+SUM(V42:Z42)+SUM(AB42:AJ42)+AL42+AS42+SUM(BD42:BI42)</f>
        <v>0</v>
      </c>
      <c r="BP42" s="307">
        <f>AK73-BO42</f>
        <v>0</v>
      </c>
      <c r="BQ42" s="307">
        <f t="shared" si="10"/>
        <v>0</v>
      </c>
    </row>
    <row r="43" spans="1:71" s="67" customFormat="1" ht="16.5" customHeight="1">
      <c r="A43" s="388" t="s">
        <v>67</v>
      </c>
      <c r="B43" s="389" t="s">
        <v>1789</v>
      </c>
      <c r="C43" s="388" t="s">
        <v>155</v>
      </c>
      <c r="D43" s="390">
        <f>'01CH'!D42</f>
        <v>1167.5740000000001</v>
      </c>
      <c r="E43" s="307">
        <f t="shared" si="19"/>
        <v>0</v>
      </c>
      <c r="F43" s="307">
        <f>SUM(F44:F49)</f>
        <v>0</v>
      </c>
      <c r="G43" s="307">
        <f t="shared" ref="G43:AK43" si="33">SUM(G44:G49)</f>
        <v>0</v>
      </c>
      <c r="H43" s="307">
        <f t="shared" si="33"/>
        <v>0</v>
      </c>
      <c r="I43" s="307">
        <f t="shared" si="33"/>
        <v>0</v>
      </c>
      <c r="J43" s="307">
        <f t="shared" si="33"/>
        <v>0</v>
      </c>
      <c r="K43" s="307">
        <f t="shared" si="33"/>
        <v>0</v>
      </c>
      <c r="L43" s="307">
        <f t="shared" si="33"/>
        <v>0</v>
      </c>
      <c r="M43" s="307">
        <f t="shared" si="33"/>
        <v>0</v>
      </c>
      <c r="N43" s="307">
        <f t="shared" si="33"/>
        <v>0</v>
      </c>
      <c r="O43" s="307">
        <f t="shared" si="33"/>
        <v>0</v>
      </c>
      <c r="P43" s="307">
        <f t="shared" si="33"/>
        <v>0</v>
      </c>
      <c r="Q43" s="307">
        <f t="shared" si="33"/>
        <v>0</v>
      </c>
      <c r="R43" s="307">
        <f t="shared" si="33"/>
        <v>0</v>
      </c>
      <c r="S43" s="307">
        <f t="shared" si="33"/>
        <v>0</v>
      </c>
      <c r="T43" s="307">
        <f t="shared" si="33"/>
        <v>0</v>
      </c>
      <c r="U43" s="307">
        <f t="shared" si="33"/>
        <v>122.59</v>
      </c>
      <c r="V43" s="307">
        <f t="shared" si="33"/>
        <v>76.31</v>
      </c>
      <c r="W43" s="307">
        <f t="shared" si="33"/>
        <v>6.0000000000000005E-2</v>
      </c>
      <c r="X43" s="307">
        <f t="shared" si="33"/>
        <v>0.09</v>
      </c>
      <c r="Y43" s="307">
        <f t="shared" si="33"/>
        <v>0</v>
      </c>
      <c r="Z43" s="307">
        <f t="shared" si="33"/>
        <v>0</v>
      </c>
      <c r="AA43" s="307">
        <f t="shared" si="33"/>
        <v>0</v>
      </c>
      <c r="AB43" s="307">
        <f t="shared" si="33"/>
        <v>0</v>
      </c>
      <c r="AC43" s="307">
        <f t="shared" si="33"/>
        <v>0</v>
      </c>
      <c r="AD43" s="307">
        <f t="shared" si="33"/>
        <v>0</v>
      </c>
      <c r="AE43" s="307">
        <f t="shared" si="33"/>
        <v>0</v>
      </c>
      <c r="AF43" s="307">
        <f t="shared" si="33"/>
        <v>0</v>
      </c>
      <c r="AG43" s="307">
        <f t="shared" si="33"/>
        <v>0</v>
      </c>
      <c r="AH43" s="307">
        <f t="shared" si="33"/>
        <v>0</v>
      </c>
      <c r="AI43" s="307">
        <f t="shared" si="33"/>
        <v>0</v>
      </c>
      <c r="AJ43" s="307">
        <f t="shared" si="33"/>
        <v>0</v>
      </c>
      <c r="AK43" s="307">
        <f t="shared" si="33"/>
        <v>0</v>
      </c>
      <c r="AL43" s="393">
        <f>AM44+AN45+AO46+AP47+AQ48+AR49</f>
        <v>1044.9840000000002</v>
      </c>
      <c r="AM43" s="307">
        <f>SUM(AM44:AM49)-AM44</f>
        <v>1.7799999999999727</v>
      </c>
      <c r="AN43" s="307">
        <f>SUM(AN44:AN49)-AN45</f>
        <v>0.5</v>
      </c>
      <c r="AO43" s="307">
        <f>SUM(AO44:AO49)-AO46</f>
        <v>0</v>
      </c>
      <c r="AP43" s="307">
        <f>SUM(AP44:AP49)-AP47</f>
        <v>0</v>
      </c>
      <c r="AQ43" s="307">
        <f>SUM(AQ44:AQ49)-AQ48</f>
        <v>0</v>
      </c>
      <c r="AR43" s="307">
        <f>SUM(AR44:AR49)-AR49</f>
        <v>0</v>
      </c>
      <c r="AS43" s="307">
        <f t="shared" ref="AS43" si="34">SUM(AS44:AS49)</f>
        <v>43.85</v>
      </c>
      <c r="AT43" s="307">
        <f t="shared" ref="AT43" si="35">SUM(AT44:AT49)</f>
        <v>1.46</v>
      </c>
      <c r="AU43" s="307">
        <f t="shared" ref="AU43" si="36">SUM(AU44:AU49)</f>
        <v>0</v>
      </c>
      <c r="AV43" s="307">
        <f t="shared" ref="AV43" si="37">SUM(AV44:AV49)</f>
        <v>0</v>
      </c>
      <c r="AW43" s="307">
        <f t="shared" ref="AW43" si="38">SUM(AW44:AW49)</f>
        <v>0</v>
      </c>
      <c r="AX43" s="307">
        <f t="shared" ref="AX43" si="39">SUM(AX44:AX49)</f>
        <v>0</v>
      </c>
      <c r="AY43" s="307">
        <f t="shared" ref="AY43" si="40">SUM(AY44:AY49)</f>
        <v>0</v>
      </c>
      <c r="AZ43" s="307">
        <f t="shared" ref="AZ43" si="41">SUM(AZ44:AZ49)</f>
        <v>42.39</v>
      </c>
      <c r="BA43" s="307">
        <f t="shared" ref="BA43" si="42">SUM(BA44:BA49)</f>
        <v>0</v>
      </c>
      <c r="BB43" s="307">
        <f t="shared" ref="BB43" si="43">SUM(BB44:BB49)</f>
        <v>0</v>
      </c>
      <c r="BC43" s="307">
        <f t="shared" ref="BC43" si="44">SUM(BC44:BC49)</f>
        <v>0</v>
      </c>
      <c r="BD43" s="307">
        <f t="shared" ref="BD43" si="45">SUM(BD44:BD49)</f>
        <v>0</v>
      </c>
      <c r="BE43" s="307">
        <f t="shared" ref="BE43" si="46">SUM(BE44:BE49)</f>
        <v>0</v>
      </c>
      <c r="BF43" s="307">
        <f t="shared" ref="BF43" si="47">SUM(BF44:BF49)</f>
        <v>0</v>
      </c>
      <c r="BG43" s="307">
        <f t="shared" ref="BG43" si="48">SUM(BG44:BG49)</f>
        <v>0</v>
      </c>
      <c r="BH43" s="307">
        <f t="shared" ref="BH43" si="49">SUM(BH44:BH49)</f>
        <v>0</v>
      </c>
      <c r="BI43" s="307">
        <f t="shared" ref="BI43" si="50">SUM(BI44:BI49)</f>
        <v>0</v>
      </c>
      <c r="BJ43" s="307">
        <f t="shared" ref="BJ43" si="51">SUM(BJ44:BJ49)</f>
        <v>0</v>
      </c>
      <c r="BK43" s="307">
        <f t="shared" ref="BK43" si="52">SUM(BK44:BK49)</f>
        <v>0</v>
      </c>
      <c r="BL43" s="307">
        <f t="shared" ref="BL43" si="53">SUM(BL44:BL49)</f>
        <v>0</v>
      </c>
      <c r="BM43" s="307">
        <f t="shared" ref="BM43" si="54">SUM(BM44:BM49)</f>
        <v>0</v>
      </c>
      <c r="BN43" s="307">
        <f t="shared" ref="BN43" si="55">SUM(BN44:BN49)</f>
        <v>0</v>
      </c>
      <c r="BO43" s="307">
        <f>E43+SUM(V43:AA43)+SUM(AM43:AS43)+SUM(BD43:BI43)</f>
        <v>122.58999999999997</v>
      </c>
      <c r="BP43" s="308">
        <f>SUM(BP44:BP49)</f>
        <v>1494.5602665600115</v>
      </c>
      <c r="BQ43" s="307">
        <f t="shared" si="10"/>
        <v>2662.1342665600114</v>
      </c>
    </row>
    <row r="44" spans="1:71" s="67" customFormat="1" ht="16.5" customHeight="1">
      <c r="A44" s="388" t="s">
        <v>140</v>
      </c>
      <c r="B44" s="389" t="s">
        <v>66</v>
      </c>
      <c r="C44" s="388" t="s">
        <v>30</v>
      </c>
      <c r="D44" s="390">
        <f>'01CH'!D43</f>
        <v>878.40600000000006</v>
      </c>
      <c r="E44" s="307">
        <f t="shared" si="19"/>
        <v>0</v>
      </c>
      <c r="F44" s="307">
        <f t="shared" ref="F44:F49" si="56">SUM(G44:H44)</f>
        <v>0</v>
      </c>
      <c r="G44" s="307"/>
      <c r="H44" s="307"/>
      <c r="I44" s="377"/>
      <c r="J44" s="377"/>
      <c r="K44" s="377"/>
      <c r="L44" s="377"/>
      <c r="M44" s="377">
        <f t="shared" ref="M44:M49" si="57">SUM(N44:P44)</f>
        <v>0</v>
      </c>
      <c r="N44" s="377"/>
      <c r="O44" s="377"/>
      <c r="P44" s="377"/>
      <c r="Q44" s="377"/>
      <c r="R44" s="377"/>
      <c r="S44" s="377"/>
      <c r="T44" s="377"/>
      <c r="U44" s="307">
        <f t="shared" ref="U44:U49" si="58">SUM(V44:AA44)+AL44+AS44+SUM(BD44:BH44)</f>
        <v>43.24</v>
      </c>
      <c r="V44" s="377"/>
      <c r="W44" s="377"/>
      <c r="X44" s="377"/>
      <c r="Y44" s="377"/>
      <c r="Z44" s="377"/>
      <c r="AA44" s="377">
        <f>SUM(AB44:AK44)</f>
        <v>0</v>
      </c>
      <c r="AB44" s="377"/>
      <c r="AC44" s="377"/>
      <c r="AD44" s="377"/>
      <c r="AE44" s="377"/>
      <c r="AF44" s="377"/>
      <c r="AG44" s="377"/>
      <c r="AH44" s="377"/>
      <c r="AI44" s="377"/>
      <c r="AJ44" s="377"/>
      <c r="AK44" s="377"/>
      <c r="AL44" s="377">
        <f>SUM(AM44:AR44)-AM44</f>
        <v>0</v>
      </c>
      <c r="AM44" s="393">
        <f>$D44-$BO44</f>
        <v>835.16600000000005</v>
      </c>
      <c r="AN44" s="377"/>
      <c r="AO44" s="377"/>
      <c r="AP44" s="377"/>
      <c r="AQ44" s="377"/>
      <c r="AR44" s="377"/>
      <c r="AS44" s="377">
        <f t="shared" ref="AS44:AS49" si="59">SUM(AT44:BC44)</f>
        <v>43.24</v>
      </c>
      <c r="AT44" s="377">
        <v>0.85</v>
      </c>
      <c r="AU44" s="377">
        <v>0</v>
      </c>
      <c r="AV44" s="377"/>
      <c r="AW44" s="377"/>
      <c r="AX44" s="377"/>
      <c r="AY44" s="377"/>
      <c r="AZ44" s="377">
        <v>42.39</v>
      </c>
      <c r="BA44" s="377">
        <v>0</v>
      </c>
      <c r="BB44" s="377"/>
      <c r="BC44" s="377"/>
      <c r="BD44" s="377"/>
      <c r="BE44" s="377"/>
      <c r="BF44" s="377"/>
      <c r="BG44" s="377"/>
      <c r="BH44" s="377"/>
      <c r="BI44" s="377">
        <f t="shared" ref="BI44:BI49" si="60">SUM(BJ44:BN44)</f>
        <v>0</v>
      </c>
      <c r="BJ44" s="377"/>
      <c r="BK44" s="377"/>
      <c r="BL44" s="377"/>
      <c r="BM44" s="377"/>
      <c r="BN44" s="377"/>
      <c r="BO44" s="307">
        <f>E44+SUM(V44:AA44)+SUM(AN44:AS44)+SUM(BD44:BI44)</f>
        <v>43.24</v>
      </c>
      <c r="BP44" s="308">
        <f>AM73-BO44</f>
        <v>901.10156454121307</v>
      </c>
      <c r="BQ44" s="307">
        <f t="shared" si="10"/>
        <v>1779.507564541213</v>
      </c>
    </row>
    <row r="45" spans="1:71" s="67" customFormat="1" ht="16.5" customHeight="1">
      <c r="A45" s="388" t="s">
        <v>140</v>
      </c>
      <c r="B45" s="389" t="s">
        <v>86</v>
      </c>
      <c r="C45" s="388" t="s">
        <v>87</v>
      </c>
      <c r="D45" s="390">
        <f>'01CH'!D44</f>
        <v>127.41399999999999</v>
      </c>
      <c r="E45" s="307">
        <f t="shared" si="19"/>
        <v>0</v>
      </c>
      <c r="F45" s="307">
        <f t="shared" si="56"/>
        <v>0</v>
      </c>
      <c r="G45" s="307"/>
      <c r="H45" s="307"/>
      <c r="I45" s="377"/>
      <c r="J45" s="377"/>
      <c r="K45" s="377"/>
      <c r="L45" s="377"/>
      <c r="M45" s="377">
        <f t="shared" si="57"/>
        <v>0</v>
      </c>
      <c r="N45" s="377"/>
      <c r="O45" s="377"/>
      <c r="P45" s="377"/>
      <c r="Q45" s="377"/>
      <c r="R45" s="377"/>
      <c r="S45" s="377"/>
      <c r="T45" s="377"/>
      <c r="U45" s="307">
        <f t="shared" si="58"/>
        <v>73.16</v>
      </c>
      <c r="V45" s="377">
        <v>73.16</v>
      </c>
      <c r="W45" s="377">
        <v>0</v>
      </c>
      <c r="X45" s="377">
        <v>0</v>
      </c>
      <c r="Y45" s="377"/>
      <c r="Z45" s="377"/>
      <c r="AA45" s="377">
        <f t="shared" ref="AA45:AA49" si="61">SUM(AB45:AK45)</f>
        <v>0</v>
      </c>
      <c r="AB45" s="377"/>
      <c r="AC45" s="377"/>
      <c r="AD45" s="377"/>
      <c r="AE45" s="377"/>
      <c r="AF45" s="377"/>
      <c r="AG45" s="377"/>
      <c r="AH45" s="377"/>
      <c r="AI45" s="377"/>
      <c r="AJ45" s="377"/>
      <c r="AK45" s="377"/>
      <c r="AL45" s="377">
        <f>SUM(AM45:AR45)-AN45</f>
        <v>0</v>
      </c>
      <c r="AM45" s="377"/>
      <c r="AN45" s="393">
        <f>$D45-$BO45</f>
        <v>54.253999999999991</v>
      </c>
      <c r="AO45" s="377"/>
      <c r="AP45" s="377"/>
      <c r="AQ45" s="377"/>
      <c r="AR45" s="377"/>
      <c r="AS45" s="377">
        <f t="shared" si="59"/>
        <v>0</v>
      </c>
      <c r="AT45" s="377"/>
      <c r="AU45" s="377"/>
      <c r="AV45" s="377"/>
      <c r="AW45" s="377"/>
      <c r="AX45" s="377"/>
      <c r="AY45" s="377"/>
      <c r="AZ45" s="377"/>
      <c r="BA45" s="377"/>
      <c r="BB45" s="377"/>
      <c r="BC45" s="377"/>
      <c r="BD45" s="377"/>
      <c r="BE45" s="377"/>
      <c r="BF45" s="377"/>
      <c r="BG45" s="377"/>
      <c r="BH45" s="377"/>
      <c r="BI45" s="377">
        <f t="shared" si="60"/>
        <v>0</v>
      </c>
      <c r="BJ45" s="377"/>
      <c r="BK45" s="377"/>
      <c r="BL45" s="377"/>
      <c r="BM45" s="377"/>
      <c r="BN45" s="377"/>
      <c r="BO45" s="307">
        <f>E45+SUM(V45:AA45)+AM45+SUM(AO45:AS45)+SUM(BD45:BI45)</f>
        <v>73.16</v>
      </c>
      <c r="BP45" s="308">
        <f>AN73-BO45</f>
        <v>338.79999999999995</v>
      </c>
      <c r="BQ45" s="307">
        <f t="shared" si="10"/>
        <v>466.21399999999994</v>
      </c>
    </row>
    <row r="46" spans="1:71" s="67" customFormat="1" ht="16.5" customHeight="1">
      <c r="A46" s="388" t="s">
        <v>140</v>
      </c>
      <c r="B46" s="389" t="s">
        <v>1790</v>
      </c>
      <c r="C46" s="388" t="s">
        <v>1814</v>
      </c>
      <c r="D46" s="390">
        <f>'01CH'!D45</f>
        <v>0</v>
      </c>
      <c r="E46" s="307">
        <f t="shared" si="19"/>
        <v>0</v>
      </c>
      <c r="F46" s="307">
        <f t="shared" si="56"/>
        <v>0</v>
      </c>
      <c r="G46" s="307"/>
      <c r="H46" s="307"/>
      <c r="I46" s="377"/>
      <c r="J46" s="377"/>
      <c r="K46" s="377"/>
      <c r="L46" s="377"/>
      <c r="M46" s="377">
        <f t="shared" si="57"/>
        <v>0</v>
      </c>
      <c r="N46" s="377"/>
      <c r="O46" s="377"/>
      <c r="P46" s="377"/>
      <c r="Q46" s="377"/>
      <c r="R46" s="377"/>
      <c r="S46" s="377"/>
      <c r="T46" s="377"/>
      <c r="U46" s="307">
        <f t="shared" si="58"/>
        <v>0</v>
      </c>
      <c r="V46" s="377"/>
      <c r="W46" s="377"/>
      <c r="X46" s="377"/>
      <c r="Y46" s="377"/>
      <c r="Z46" s="377"/>
      <c r="AA46" s="377">
        <f t="shared" si="61"/>
        <v>0</v>
      </c>
      <c r="AB46" s="377"/>
      <c r="AC46" s="377"/>
      <c r="AD46" s="377"/>
      <c r="AE46" s="377"/>
      <c r="AF46" s="377"/>
      <c r="AG46" s="377"/>
      <c r="AH46" s="377"/>
      <c r="AI46" s="377"/>
      <c r="AJ46" s="377"/>
      <c r="AK46" s="377"/>
      <c r="AL46" s="377">
        <f>SUM(AM46:AR46)-AO46</f>
        <v>0</v>
      </c>
      <c r="AM46" s="377"/>
      <c r="AN46" s="377"/>
      <c r="AO46" s="393">
        <f>$D46-$BO46</f>
        <v>0</v>
      </c>
      <c r="AP46" s="377"/>
      <c r="AQ46" s="377"/>
      <c r="AR46" s="377"/>
      <c r="AS46" s="377">
        <f t="shared" si="59"/>
        <v>0</v>
      </c>
      <c r="AT46" s="377"/>
      <c r="AU46" s="377"/>
      <c r="AV46" s="377"/>
      <c r="AW46" s="377"/>
      <c r="AX46" s="377"/>
      <c r="AY46" s="377"/>
      <c r="AZ46" s="377"/>
      <c r="BA46" s="377"/>
      <c r="BB46" s="377"/>
      <c r="BC46" s="377"/>
      <c r="BD46" s="377"/>
      <c r="BE46" s="377"/>
      <c r="BF46" s="377"/>
      <c r="BG46" s="377"/>
      <c r="BH46" s="377"/>
      <c r="BI46" s="377">
        <f t="shared" si="60"/>
        <v>0</v>
      </c>
      <c r="BJ46" s="377"/>
      <c r="BK46" s="377"/>
      <c r="BL46" s="377"/>
      <c r="BM46" s="377"/>
      <c r="BN46" s="377"/>
      <c r="BO46" s="307">
        <f>E46+SUM(V46:AA46)+AM46+AN46+SUM(AP46:AS46)+SUM(BD46:BI46)</f>
        <v>0</v>
      </c>
      <c r="BP46" s="307">
        <f>AO73-BO46</f>
        <v>0</v>
      </c>
      <c r="BQ46" s="307">
        <f t="shared" si="10"/>
        <v>0</v>
      </c>
    </row>
    <row r="47" spans="1:71" s="67" customFormat="1" ht="16.5" customHeight="1">
      <c r="A47" s="388" t="s">
        <v>140</v>
      </c>
      <c r="B47" s="398" t="s">
        <v>204</v>
      </c>
      <c r="C47" s="399" t="s">
        <v>88</v>
      </c>
      <c r="D47" s="390">
        <f>'01CH'!D46</f>
        <v>29.403999999999996</v>
      </c>
      <c r="E47" s="307">
        <f t="shared" si="19"/>
        <v>0</v>
      </c>
      <c r="F47" s="307">
        <f t="shared" si="56"/>
        <v>0</v>
      </c>
      <c r="G47" s="307"/>
      <c r="H47" s="307"/>
      <c r="I47" s="377"/>
      <c r="J47" s="377"/>
      <c r="K47" s="377"/>
      <c r="L47" s="377"/>
      <c r="M47" s="377">
        <f t="shared" si="57"/>
        <v>0</v>
      </c>
      <c r="N47" s="377"/>
      <c r="O47" s="377"/>
      <c r="P47" s="377"/>
      <c r="Q47" s="377"/>
      <c r="R47" s="377"/>
      <c r="S47" s="377"/>
      <c r="T47" s="377"/>
      <c r="U47" s="307">
        <f t="shared" si="58"/>
        <v>0.48</v>
      </c>
      <c r="V47" s="377">
        <v>0.43</v>
      </c>
      <c r="W47" s="377">
        <v>0.05</v>
      </c>
      <c r="X47" s="377">
        <v>0</v>
      </c>
      <c r="Y47" s="377"/>
      <c r="Z47" s="377"/>
      <c r="AA47" s="377">
        <f t="shared" si="61"/>
        <v>0</v>
      </c>
      <c r="AB47" s="377"/>
      <c r="AC47" s="377"/>
      <c r="AD47" s="377"/>
      <c r="AE47" s="377"/>
      <c r="AF47" s="377"/>
      <c r="AG47" s="377"/>
      <c r="AH47" s="377"/>
      <c r="AI47" s="377"/>
      <c r="AJ47" s="377"/>
      <c r="AK47" s="377"/>
      <c r="AL47" s="377">
        <f>SUM(AM47:AR47)-AP47</f>
        <v>0</v>
      </c>
      <c r="AM47" s="377"/>
      <c r="AN47" s="377"/>
      <c r="AO47" s="377"/>
      <c r="AP47" s="393">
        <f>$D47-$BO47</f>
        <v>28.923999999999996</v>
      </c>
      <c r="AQ47" s="377"/>
      <c r="AR47" s="377"/>
      <c r="AS47" s="377">
        <f t="shared" si="59"/>
        <v>0</v>
      </c>
      <c r="AT47" s="377"/>
      <c r="AU47" s="377"/>
      <c r="AV47" s="377"/>
      <c r="AW47" s="377"/>
      <c r="AX47" s="377"/>
      <c r="AY47" s="377"/>
      <c r="AZ47" s="377"/>
      <c r="BA47" s="377"/>
      <c r="BB47" s="377"/>
      <c r="BC47" s="377"/>
      <c r="BD47" s="377"/>
      <c r="BE47" s="377"/>
      <c r="BF47" s="377"/>
      <c r="BG47" s="377"/>
      <c r="BH47" s="377"/>
      <c r="BI47" s="377">
        <f t="shared" si="60"/>
        <v>0</v>
      </c>
      <c r="BJ47" s="377"/>
      <c r="BK47" s="377"/>
      <c r="BL47" s="377"/>
      <c r="BM47" s="377"/>
      <c r="BN47" s="377"/>
      <c r="BO47" s="307">
        <f>E47+SUM(V47:AA47)+SUM(AM47:AO47)+SUM(AQ47:AS47)+SUM(BD47:BI47)</f>
        <v>0.48</v>
      </c>
      <c r="BP47" s="308">
        <f>AP73-BO47</f>
        <v>247.34870201879855</v>
      </c>
      <c r="BQ47" s="307">
        <f t="shared" si="10"/>
        <v>276.75270201879857</v>
      </c>
    </row>
    <row r="48" spans="1:71" s="67" customFormat="1" ht="16.5" customHeight="1">
      <c r="A48" s="388" t="s">
        <v>140</v>
      </c>
      <c r="B48" s="398" t="s">
        <v>89</v>
      </c>
      <c r="C48" s="399" t="s">
        <v>32</v>
      </c>
      <c r="D48" s="390">
        <f>'01CH'!D47</f>
        <v>132.35</v>
      </c>
      <c r="E48" s="307">
        <f t="shared" si="19"/>
        <v>0</v>
      </c>
      <c r="F48" s="307">
        <f t="shared" si="56"/>
        <v>0</v>
      </c>
      <c r="G48" s="307"/>
      <c r="H48" s="307"/>
      <c r="I48" s="377"/>
      <c r="J48" s="377"/>
      <c r="K48" s="377"/>
      <c r="L48" s="377"/>
      <c r="M48" s="377">
        <f t="shared" si="57"/>
        <v>0</v>
      </c>
      <c r="N48" s="377"/>
      <c r="O48" s="377"/>
      <c r="P48" s="377"/>
      <c r="Q48" s="377"/>
      <c r="R48" s="377"/>
      <c r="S48" s="377"/>
      <c r="T48" s="377"/>
      <c r="U48" s="307">
        <f t="shared" si="58"/>
        <v>5.7099999999999866</v>
      </c>
      <c r="V48" s="377">
        <v>2.7199999999999998</v>
      </c>
      <c r="W48" s="377">
        <v>0.01</v>
      </c>
      <c r="X48" s="377">
        <v>0.09</v>
      </c>
      <c r="Y48" s="377"/>
      <c r="Z48" s="377"/>
      <c r="AA48" s="377">
        <f t="shared" si="61"/>
        <v>0</v>
      </c>
      <c r="AB48" s="377"/>
      <c r="AC48" s="377"/>
      <c r="AD48" s="377"/>
      <c r="AE48" s="377"/>
      <c r="AF48" s="377"/>
      <c r="AG48" s="377"/>
      <c r="AH48" s="377"/>
      <c r="AI48" s="377"/>
      <c r="AJ48" s="377"/>
      <c r="AK48" s="377"/>
      <c r="AL48" s="377">
        <f>SUM(AM48:AR48)-AQ48</f>
        <v>2.2799999999999869</v>
      </c>
      <c r="AM48" s="377">
        <v>1.78</v>
      </c>
      <c r="AN48" s="377">
        <v>0.5</v>
      </c>
      <c r="AO48" s="377"/>
      <c r="AP48" s="377"/>
      <c r="AQ48" s="393">
        <f>$D48-$BO48</f>
        <v>126.64</v>
      </c>
      <c r="AR48" s="377"/>
      <c r="AS48" s="377">
        <f t="shared" si="59"/>
        <v>0.6100000000000001</v>
      </c>
      <c r="AT48" s="377">
        <v>0.6100000000000001</v>
      </c>
      <c r="AU48" s="377">
        <v>0</v>
      </c>
      <c r="AV48" s="377"/>
      <c r="AW48" s="377"/>
      <c r="AX48" s="377"/>
      <c r="AY48" s="377"/>
      <c r="AZ48" s="377"/>
      <c r="BA48" s="377"/>
      <c r="BB48" s="377"/>
      <c r="BC48" s="377"/>
      <c r="BD48" s="377"/>
      <c r="BE48" s="377"/>
      <c r="BF48" s="377"/>
      <c r="BG48" s="377"/>
      <c r="BH48" s="377"/>
      <c r="BI48" s="377">
        <f t="shared" si="60"/>
        <v>0</v>
      </c>
      <c r="BJ48" s="377"/>
      <c r="BK48" s="377"/>
      <c r="BL48" s="377"/>
      <c r="BM48" s="377"/>
      <c r="BN48" s="377"/>
      <c r="BO48" s="307">
        <f>E48+SUM(V48:AA48)+SUM(AM48:AP48)+SUM(AR48:AS48)+SUM(BD48:BI48)</f>
        <v>5.71</v>
      </c>
      <c r="BP48" s="308">
        <f>AQ73-BO48</f>
        <v>7.31</v>
      </c>
      <c r="BQ48" s="307">
        <f t="shared" si="10"/>
        <v>139.66</v>
      </c>
    </row>
    <row r="49" spans="1:71" s="67" customFormat="1" ht="16.5" customHeight="1">
      <c r="A49" s="388" t="s">
        <v>140</v>
      </c>
      <c r="B49" s="389" t="s">
        <v>94</v>
      </c>
      <c r="C49" s="388" t="s">
        <v>34</v>
      </c>
      <c r="D49" s="390">
        <f>'01CH'!D48</f>
        <v>0</v>
      </c>
      <c r="E49" s="307">
        <f t="shared" si="19"/>
        <v>0</v>
      </c>
      <c r="F49" s="307">
        <f t="shared" si="56"/>
        <v>0</v>
      </c>
      <c r="G49" s="307"/>
      <c r="H49" s="307"/>
      <c r="I49" s="377"/>
      <c r="J49" s="377"/>
      <c r="K49" s="377"/>
      <c r="L49" s="377"/>
      <c r="M49" s="377">
        <f t="shared" si="57"/>
        <v>0</v>
      </c>
      <c r="N49" s="377"/>
      <c r="O49" s="377"/>
      <c r="P49" s="377"/>
      <c r="Q49" s="377"/>
      <c r="R49" s="377"/>
      <c r="S49" s="377"/>
      <c r="T49" s="377"/>
      <c r="U49" s="307">
        <f t="shared" si="58"/>
        <v>0</v>
      </c>
      <c r="V49" s="377"/>
      <c r="W49" s="377"/>
      <c r="X49" s="377"/>
      <c r="Y49" s="377"/>
      <c r="Z49" s="377"/>
      <c r="AA49" s="377">
        <f t="shared" si="61"/>
        <v>0</v>
      </c>
      <c r="AB49" s="377"/>
      <c r="AC49" s="377"/>
      <c r="AD49" s="377"/>
      <c r="AE49" s="377"/>
      <c r="AF49" s="377"/>
      <c r="AG49" s="377"/>
      <c r="AH49" s="377"/>
      <c r="AI49" s="377"/>
      <c r="AJ49" s="377"/>
      <c r="AK49" s="377"/>
      <c r="AL49" s="377">
        <f>SUM(AM49:AR49)-AR49</f>
        <v>0</v>
      </c>
      <c r="AM49" s="377"/>
      <c r="AN49" s="377"/>
      <c r="AO49" s="377"/>
      <c r="AP49" s="377"/>
      <c r="AQ49" s="377"/>
      <c r="AR49" s="393">
        <f>$D49-$BO49</f>
        <v>0</v>
      </c>
      <c r="AS49" s="377">
        <f t="shared" si="59"/>
        <v>0</v>
      </c>
      <c r="AT49" s="377"/>
      <c r="AU49" s="377"/>
      <c r="AV49" s="377"/>
      <c r="AW49" s="377"/>
      <c r="AX49" s="377"/>
      <c r="AY49" s="377"/>
      <c r="AZ49" s="377"/>
      <c r="BA49" s="377"/>
      <c r="BB49" s="377"/>
      <c r="BC49" s="377"/>
      <c r="BD49" s="377"/>
      <c r="BE49" s="377"/>
      <c r="BF49" s="377"/>
      <c r="BG49" s="377"/>
      <c r="BH49" s="377"/>
      <c r="BI49" s="377">
        <f t="shared" si="60"/>
        <v>0</v>
      </c>
      <c r="BJ49" s="377"/>
      <c r="BK49" s="377"/>
      <c r="BL49" s="377"/>
      <c r="BM49" s="377"/>
      <c r="BN49" s="377"/>
      <c r="BO49" s="307">
        <f>E49+SUM(V49:AA49)+SUM(AM49:AQ49)+AS49+SUM(BD49:BI49)</f>
        <v>0</v>
      </c>
      <c r="BP49" s="307">
        <f>AR73-BO49</f>
        <v>0</v>
      </c>
      <c r="BQ49" s="307">
        <f t="shared" si="10"/>
        <v>0</v>
      </c>
    </row>
    <row r="50" spans="1:71" s="67" customFormat="1" ht="16.5" customHeight="1">
      <c r="A50" s="388" t="s">
        <v>68</v>
      </c>
      <c r="B50" s="389" t="s">
        <v>1791</v>
      </c>
      <c r="C50" s="388" t="s">
        <v>156</v>
      </c>
      <c r="D50" s="390">
        <f>'01CH'!D49</f>
        <v>840.12699999999995</v>
      </c>
      <c r="E50" s="307">
        <f t="shared" si="19"/>
        <v>0</v>
      </c>
      <c r="F50" s="307">
        <f>SUM(F52:F61)</f>
        <v>0</v>
      </c>
      <c r="G50" s="307">
        <f t="shared" ref="G50:BN50" si="62">SUM(G52:G61)</f>
        <v>0</v>
      </c>
      <c r="H50" s="307">
        <f t="shared" si="62"/>
        <v>0</v>
      </c>
      <c r="I50" s="307">
        <f t="shared" si="62"/>
        <v>0</v>
      </c>
      <c r="J50" s="307">
        <f t="shared" si="62"/>
        <v>0</v>
      </c>
      <c r="K50" s="307">
        <f t="shared" si="62"/>
        <v>0</v>
      </c>
      <c r="L50" s="307">
        <f t="shared" si="62"/>
        <v>0</v>
      </c>
      <c r="M50" s="307">
        <f t="shared" si="62"/>
        <v>0</v>
      </c>
      <c r="N50" s="307">
        <f t="shared" si="62"/>
        <v>0</v>
      </c>
      <c r="O50" s="307">
        <f t="shared" si="62"/>
        <v>0</v>
      </c>
      <c r="P50" s="307">
        <f t="shared" si="62"/>
        <v>0</v>
      </c>
      <c r="Q50" s="307">
        <f t="shared" si="62"/>
        <v>0</v>
      </c>
      <c r="R50" s="307">
        <f t="shared" si="62"/>
        <v>0</v>
      </c>
      <c r="S50" s="307">
        <f t="shared" si="62"/>
        <v>0</v>
      </c>
      <c r="T50" s="307">
        <f t="shared" si="62"/>
        <v>0</v>
      </c>
      <c r="U50" s="307">
        <f t="shared" si="62"/>
        <v>130.61284800000004</v>
      </c>
      <c r="V50" s="307">
        <f t="shared" si="62"/>
        <v>81.58</v>
      </c>
      <c r="W50" s="307">
        <f t="shared" si="62"/>
        <v>0.35</v>
      </c>
      <c r="X50" s="307">
        <f t="shared" si="62"/>
        <v>0.32999999999999996</v>
      </c>
      <c r="Y50" s="307">
        <f t="shared" si="62"/>
        <v>0</v>
      </c>
      <c r="Z50" s="307">
        <f t="shared" si="62"/>
        <v>0.214</v>
      </c>
      <c r="AA50" s="307">
        <f t="shared" si="62"/>
        <v>0.02</v>
      </c>
      <c r="AB50" s="307">
        <f t="shared" si="62"/>
        <v>0</v>
      </c>
      <c r="AC50" s="307">
        <f t="shared" si="62"/>
        <v>0</v>
      </c>
      <c r="AD50" s="307">
        <f t="shared" si="62"/>
        <v>0</v>
      </c>
      <c r="AE50" s="307">
        <f t="shared" si="62"/>
        <v>0.01</v>
      </c>
      <c r="AF50" s="307">
        <f t="shared" si="62"/>
        <v>0.01</v>
      </c>
      <c r="AG50" s="307">
        <f t="shared" si="62"/>
        <v>0</v>
      </c>
      <c r="AH50" s="307">
        <f t="shared" si="62"/>
        <v>0</v>
      </c>
      <c r="AI50" s="307">
        <f t="shared" si="62"/>
        <v>0</v>
      </c>
      <c r="AJ50" s="307">
        <f t="shared" si="62"/>
        <v>0</v>
      </c>
      <c r="AK50" s="307">
        <f t="shared" si="62"/>
        <v>0</v>
      </c>
      <c r="AL50" s="307">
        <f t="shared" si="62"/>
        <v>46.787848000000004</v>
      </c>
      <c r="AM50" s="307">
        <f t="shared" si="62"/>
        <v>14.41</v>
      </c>
      <c r="AN50" s="307">
        <f t="shared" si="62"/>
        <v>29.82</v>
      </c>
      <c r="AO50" s="307">
        <f t="shared" si="62"/>
        <v>0</v>
      </c>
      <c r="AP50" s="307">
        <f t="shared" si="62"/>
        <v>2.4978479999999998</v>
      </c>
      <c r="AQ50" s="307">
        <f t="shared" si="62"/>
        <v>0.06</v>
      </c>
      <c r="AR50" s="307">
        <f t="shared" si="62"/>
        <v>0</v>
      </c>
      <c r="AS50" s="391">
        <f>AT52+AU53+AV54+AW55+AX56+AY57+BA59+BB60+BC61</f>
        <v>707.8681519999999</v>
      </c>
      <c r="AT50" s="307">
        <f>SUM(AT52:AT61)-AT52</f>
        <v>8.0000000000040927E-2</v>
      </c>
      <c r="AU50" s="307">
        <f>SUM(AU52:AU61)-AU53</f>
        <v>0</v>
      </c>
      <c r="AV50" s="307">
        <f>SUM(AV52:AV61)-AV54</f>
        <v>0</v>
      </c>
      <c r="AW50" s="307">
        <f>SUM(AW52:AW61)-AW55</f>
        <v>0</v>
      </c>
      <c r="AX50" s="307">
        <f>SUM(AX52:AX61)-AX56</f>
        <v>0</v>
      </c>
      <c r="AY50" s="307">
        <f>SUM(AY52:AY61)-AY57</f>
        <v>0</v>
      </c>
      <c r="AZ50" s="307">
        <f>SUM(AZ52:AZ61)-AZ58</f>
        <v>1.1199999999999999</v>
      </c>
      <c r="BA50" s="307">
        <f>SUM(BA52:BA61)-BA59</f>
        <v>0</v>
      </c>
      <c r="BB50" s="307">
        <f>SUM(BB52:BB61)-BB60</f>
        <v>0</v>
      </c>
      <c r="BC50" s="307">
        <f>SUM(BC52:BC61)-BC61</f>
        <v>0</v>
      </c>
      <c r="BD50" s="307">
        <f>SUM(BD52:BD61)</f>
        <v>0</v>
      </c>
      <c r="BE50" s="307">
        <f t="shared" si="62"/>
        <v>0</v>
      </c>
      <c r="BF50" s="307">
        <f t="shared" si="62"/>
        <v>0.13100000000000001</v>
      </c>
      <c r="BG50" s="307">
        <f t="shared" si="62"/>
        <v>0</v>
      </c>
      <c r="BH50" s="307">
        <f t="shared" si="62"/>
        <v>0</v>
      </c>
      <c r="BI50" s="307">
        <f t="shared" si="62"/>
        <v>0</v>
      </c>
      <c r="BJ50" s="307">
        <f t="shared" si="62"/>
        <v>0</v>
      </c>
      <c r="BK50" s="307">
        <f t="shared" si="62"/>
        <v>0</v>
      </c>
      <c r="BL50" s="307">
        <f t="shared" si="62"/>
        <v>0</v>
      </c>
      <c r="BM50" s="307">
        <f t="shared" si="62"/>
        <v>0</v>
      </c>
      <c r="BN50" s="307">
        <f t="shared" si="62"/>
        <v>0</v>
      </c>
      <c r="BO50" s="307">
        <f>E50+SUM(V50:AA50)+AL50+SUM(BD50:BI50)</f>
        <v>129.412848</v>
      </c>
      <c r="BP50" s="308">
        <f>SUM(BP52:BP61)</f>
        <v>296.4762520000001</v>
      </c>
      <c r="BQ50" s="307">
        <f t="shared" si="10"/>
        <v>1136.6032520000001</v>
      </c>
    </row>
    <row r="51" spans="1:71" s="67" customFormat="1" ht="16.5" customHeight="1">
      <c r="A51" s="388"/>
      <c r="B51" s="389" t="s">
        <v>176</v>
      </c>
      <c r="C51" s="388"/>
      <c r="D51" s="390">
        <f>'01CH'!D50</f>
        <v>0</v>
      </c>
      <c r="E51" s="307">
        <f t="shared" si="19"/>
        <v>0</v>
      </c>
      <c r="F51" s="307"/>
      <c r="G51" s="307"/>
      <c r="H51" s="30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77"/>
      <c r="AL51" s="377"/>
      <c r="AM51" s="377"/>
      <c r="AN51" s="377"/>
      <c r="AO51" s="377"/>
      <c r="AP51" s="377"/>
      <c r="AQ51" s="377"/>
      <c r="AR51" s="377"/>
      <c r="AS51" s="377"/>
      <c r="AT51" s="377"/>
      <c r="AU51" s="377"/>
      <c r="AV51" s="377"/>
      <c r="AW51" s="377"/>
      <c r="AX51" s="377"/>
      <c r="AY51" s="377"/>
      <c r="AZ51" s="377"/>
      <c r="BA51" s="377"/>
      <c r="BB51" s="377"/>
      <c r="BC51" s="377"/>
      <c r="BD51" s="377"/>
      <c r="BE51" s="377"/>
      <c r="BF51" s="377"/>
      <c r="BG51" s="377"/>
      <c r="BH51" s="377"/>
      <c r="BI51" s="377"/>
      <c r="BJ51" s="377"/>
      <c r="BK51" s="377"/>
      <c r="BL51" s="377"/>
      <c r="BM51" s="377"/>
      <c r="BN51" s="377"/>
      <c r="BO51" s="307"/>
      <c r="BP51" s="307"/>
      <c r="BQ51" s="307"/>
    </row>
    <row r="52" spans="1:71" s="67" customFormat="1" ht="16.5" customHeight="1">
      <c r="A52" s="388"/>
      <c r="B52" s="389" t="s">
        <v>1792</v>
      </c>
      <c r="C52" s="388" t="s">
        <v>42</v>
      </c>
      <c r="D52" s="390">
        <f>'01CH'!D51</f>
        <v>796.83600000000001</v>
      </c>
      <c r="E52" s="307">
        <f t="shared" si="19"/>
        <v>0</v>
      </c>
      <c r="F52" s="307">
        <f t="shared" ref="F52:F66" si="63">SUM(G52:H52)</f>
        <v>0</v>
      </c>
      <c r="G52" s="307"/>
      <c r="H52" s="307"/>
      <c r="I52" s="377"/>
      <c r="J52" s="377"/>
      <c r="K52" s="377"/>
      <c r="L52" s="377"/>
      <c r="M52" s="377">
        <f t="shared" ref="M52:M66" si="64">SUM(N52:P52)</f>
        <v>0</v>
      </c>
      <c r="N52" s="377"/>
      <c r="O52" s="377"/>
      <c r="P52" s="377"/>
      <c r="Q52" s="377"/>
      <c r="R52" s="377"/>
      <c r="S52" s="377"/>
      <c r="T52" s="377"/>
      <c r="U52" s="307">
        <f t="shared" ref="U52:U66" si="65">SUM(V52:AA52)+AL52+AS52+SUM(BD52:BH52)</f>
        <v>129.89884800000002</v>
      </c>
      <c r="V52" s="377">
        <v>81.31</v>
      </c>
      <c r="W52" s="377">
        <v>0.35</v>
      </c>
      <c r="X52" s="377">
        <v>0.18</v>
      </c>
      <c r="Y52" s="377"/>
      <c r="Z52" s="377"/>
      <c r="AA52" s="377">
        <f t="shared" ref="AA52:AA66" si="66">SUM(AB52:AK52)</f>
        <v>0.02</v>
      </c>
      <c r="AB52" s="377"/>
      <c r="AC52" s="377"/>
      <c r="AD52" s="377">
        <v>0</v>
      </c>
      <c r="AE52" s="377">
        <v>0.01</v>
      </c>
      <c r="AF52" s="377">
        <v>0.01</v>
      </c>
      <c r="AG52" s="377"/>
      <c r="AH52" s="377"/>
      <c r="AI52" s="377"/>
      <c r="AJ52" s="377"/>
      <c r="AK52" s="377"/>
      <c r="AL52" s="377">
        <f t="shared" ref="AL52:AL66" si="67">SUM(AM52:AR52)</f>
        <v>46.787848000000004</v>
      </c>
      <c r="AM52" s="377">
        <v>14.41</v>
      </c>
      <c r="AN52" s="377">
        <v>29.82</v>
      </c>
      <c r="AO52" s="377"/>
      <c r="AP52" s="377">
        <v>2.4978479999999998</v>
      </c>
      <c r="AQ52" s="377">
        <v>0.06</v>
      </c>
      <c r="AR52" s="377"/>
      <c r="AS52" s="377">
        <f>SUM(AT52:BC52)-AT52</f>
        <v>1.1200000000000045</v>
      </c>
      <c r="AT52" s="393">
        <f>$D52-$BO52</f>
        <v>666.93715199999997</v>
      </c>
      <c r="AU52" s="377"/>
      <c r="AV52" s="377"/>
      <c r="AW52" s="377"/>
      <c r="AX52" s="377"/>
      <c r="AY52" s="377"/>
      <c r="AZ52" s="377">
        <v>1.1200000000000001</v>
      </c>
      <c r="BA52" s="377">
        <v>0</v>
      </c>
      <c r="BB52" s="377"/>
      <c r="BC52" s="377"/>
      <c r="BD52" s="377"/>
      <c r="BE52" s="377"/>
      <c r="BF52" s="377">
        <v>0.13100000000000001</v>
      </c>
      <c r="BG52" s="377"/>
      <c r="BH52" s="377"/>
      <c r="BI52" s="377">
        <f t="shared" ref="BI52:BI66" si="68">SUM(BJ52:BN52)</f>
        <v>0</v>
      </c>
      <c r="BJ52" s="377"/>
      <c r="BK52" s="377"/>
      <c r="BL52" s="377"/>
      <c r="BM52" s="377"/>
      <c r="BN52" s="377"/>
      <c r="BO52" s="307">
        <f>E52+SUM(V52:AA52)+AL52+SUM(AU52:BI52)</f>
        <v>129.89884800000002</v>
      </c>
      <c r="BP52" s="308">
        <f>AT73-BO52</f>
        <v>187.40115200000005</v>
      </c>
      <c r="BQ52" s="307">
        <f t="shared" si="10"/>
        <v>984.23715200000004</v>
      </c>
    </row>
    <row r="53" spans="1:71" s="67" customFormat="1" ht="16.5" customHeight="1">
      <c r="A53" s="388"/>
      <c r="B53" s="398" t="s">
        <v>1793</v>
      </c>
      <c r="C53" s="399" t="s">
        <v>43</v>
      </c>
      <c r="D53" s="390">
        <f>'01CH'!D52</f>
        <v>0.78</v>
      </c>
      <c r="E53" s="307">
        <f t="shared" si="19"/>
        <v>0</v>
      </c>
      <c r="F53" s="307">
        <f t="shared" si="63"/>
        <v>0</v>
      </c>
      <c r="G53" s="307"/>
      <c r="H53" s="307"/>
      <c r="I53" s="377"/>
      <c r="J53" s="377"/>
      <c r="K53" s="377"/>
      <c r="L53" s="377"/>
      <c r="M53" s="377">
        <f t="shared" si="64"/>
        <v>0</v>
      </c>
      <c r="N53" s="377"/>
      <c r="O53" s="377"/>
      <c r="P53" s="377"/>
      <c r="Q53" s="377"/>
      <c r="R53" s="377"/>
      <c r="S53" s="377"/>
      <c r="T53" s="377"/>
      <c r="U53" s="307">
        <f t="shared" si="65"/>
        <v>7.999999999999996E-2</v>
      </c>
      <c r="V53" s="377"/>
      <c r="W53" s="377"/>
      <c r="X53" s="377"/>
      <c r="Y53" s="377"/>
      <c r="Z53" s="377"/>
      <c r="AA53" s="377">
        <f t="shared" si="66"/>
        <v>0</v>
      </c>
      <c r="AB53" s="377"/>
      <c r="AC53" s="377"/>
      <c r="AD53" s="377"/>
      <c r="AE53" s="377"/>
      <c r="AF53" s="377"/>
      <c r="AG53" s="377"/>
      <c r="AH53" s="377"/>
      <c r="AI53" s="377"/>
      <c r="AJ53" s="377"/>
      <c r="AK53" s="377"/>
      <c r="AL53" s="377">
        <f t="shared" si="67"/>
        <v>0</v>
      </c>
      <c r="AM53" s="377"/>
      <c r="AN53" s="377"/>
      <c r="AO53" s="377"/>
      <c r="AP53" s="377"/>
      <c r="AQ53" s="377"/>
      <c r="AR53" s="377"/>
      <c r="AS53" s="377">
        <f>SUM(AT53:BC53)-AU53</f>
        <v>7.999999999999996E-2</v>
      </c>
      <c r="AT53" s="377">
        <v>0.08</v>
      </c>
      <c r="AU53" s="393">
        <f>$D53-$BO53</f>
        <v>0.70000000000000007</v>
      </c>
      <c r="AV53" s="377"/>
      <c r="AW53" s="377"/>
      <c r="AX53" s="377"/>
      <c r="AY53" s="377"/>
      <c r="AZ53" s="377"/>
      <c r="BA53" s="377"/>
      <c r="BB53" s="377"/>
      <c r="BC53" s="377"/>
      <c r="BD53" s="377"/>
      <c r="BE53" s="377"/>
      <c r="BF53" s="377"/>
      <c r="BG53" s="377"/>
      <c r="BH53" s="377"/>
      <c r="BI53" s="377">
        <f t="shared" si="68"/>
        <v>0</v>
      </c>
      <c r="BJ53" s="377"/>
      <c r="BK53" s="377"/>
      <c r="BL53" s="377"/>
      <c r="BM53" s="377"/>
      <c r="BN53" s="377"/>
      <c r="BO53" s="307">
        <f>E53+SUM(V53:AA53)+AL53+AT53+SUM(AV53:BI53)</f>
        <v>0.08</v>
      </c>
      <c r="BP53" s="308">
        <f>AU73-BO53</f>
        <v>0.18</v>
      </c>
      <c r="BQ53" s="307">
        <f t="shared" si="10"/>
        <v>0.96</v>
      </c>
    </row>
    <row r="54" spans="1:71" s="67" customFormat="1" ht="16.5" customHeight="1">
      <c r="A54" s="388"/>
      <c r="B54" s="398" t="s">
        <v>1794</v>
      </c>
      <c r="C54" s="399" t="s">
        <v>1815</v>
      </c>
      <c r="D54" s="390">
        <f>'01CH'!D53</f>
        <v>0</v>
      </c>
      <c r="E54" s="307">
        <f t="shared" si="19"/>
        <v>0</v>
      </c>
      <c r="F54" s="307">
        <f t="shared" si="63"/>
        <v>0</v>
      </c>
      <c r="G54" s="307"/>
      <c r="H54" s="307"/>
      <c r="I54" s="377"/>
      <c r="J54" s="377"/>
      <c r="K54" s="377"/>
      <c r="L54" s="377"/>
      <c r="M54" s="377">
        <f t="shared" si="64"/>
        <v>0</v>
      </c>
      <c r="N54" s="377"/>
      <c r="O54" s="377"/>
      <c r="P54" s="377"/>
      <c r="Q54" s="377"/>
      <c r="R54" s="377"/>
      <c r="S54" s="377"/>
      <c r="T54" s="377"/>
      <c r="U54" s="307">
        <f t="shared" si="65"/>
        <v>0</v>
      </c>
      <c r="V54" s="377"/>
      <c r="W54" s="377"/>
      <c r="X54" s="377"/>
      <c r="Y54" s="377"/>
      <c r="Z54" s="377"/>
      <c r="AA54" s="377">
        <f t="shared" si="66"/>
        <v>0</v>
      </c>
      <c r="AB54" s="377"/>
      <c r="AC54" s="377"/>
      <c r="AD54" s="377"/>
      <c r="AE54" s="377"/>
      <c r="AF54" s="377"/>
      <c r="AG54" s="377"/>
      <c r="AH54" s="377"/>
      <c r="AI54" s="377"/>
      <c r="AJ54" s="377"/>
      <c r="AK54" s="377"/>
      <c r="AL54" s="377">
        <f t="shared" si="67"/>
        <v>0</v>
      </c>
      <c r="AM54" s="377"/>
      <c r="AN54" s="377"/>
      <c r="AO54" s="377"/>
      <c r="AP54" s="377"/>
      <c r="AQ54" s="377"/>
      <c r="AR54" s="377"/>
      <c r="AS54" s="377">
        <f>SUM(AT54:BC54)-AV54</f>
        <v>0</v>
      </c>
      <c r="AT54" s="377"/>
      <c r="AU54" s="377"/>
      <c r="AV54" s="393">
        <f>$D54-$BO54</f>
        <v>0</v>
      </c>
      <c r="AW54" s="377"/>
      <c r="AX54" s="377"/>
      <c r="AY54" s="377"/>
      <c r="AZ54" s="377"/>
      <c r="BA54" s="377"/>
      <c r="BB54" s="377"/>
      <c r="BC54" s="377"/>
      <c r="BD54" s="377"/>
      <c r="BE54" s="377"/>
      <c r="BF54" s="377"/>
      <c r="BG54" s="377"/>
      <c r="BH54" s="377"/>
      <c r="BI54" s="377">
        <f t="shared" si="68"/>
        <v>0</v>
      </c>
      <c r="BJ54" s="377"/>
      <c r="BK54" s="377"/>
      <c r="BL54" s="377"/>
      <c r="BM54" s="377"/>
      <c r="BN54" s="377"/>
      <c r="BO54" s="307">
        <f>E54+SUM(V54:AA54)+AL54+SUM(AT54:AU54)+SUM(AW54:BI54)</f>
        <v>0</v>
      </c>
      <c r="BP54" s="307">
        <f>AV73-BO54</f>
        <v>0</v>
      </c>
      <c r="BQ54" s="307">
        <f t="shared" si="10"/>
        <v>0</v>
      </c>
      <c r="BS54" s="127"/>
    </row>
    <row r="55" spans="1:71" s="67" customFormat="1" ht="16.5" customHeight="1">
      <c r="A55" s="388"/>
      <c r="B55" s="389" t="s">
        <v>1795</v>
      </c>
      <c r="C55" s="388" t="s">
        <v>1816</v>
      </c>
      <c r="D55" s="390">
        <f>'01CH'!D54</f>
        <v>0</v>
      </c>
      <c r="E55" s="307">
        <f t="shared" si="19"/>
        <v>0</v>
      </c>
      <c r="F55" s="307">
        <f t="shared" si="63"/>
        <v>0</v>
      </c>
      <c r="G55" s="307"/>
      <c r="H55" s="307"/>
      <c r="I55" s="377"/>
      <c r="J55" s="377"/>
      <c r="K55" s="377"/>
      <c r="L55" s="377"/>
      <c r="M55" s="377">
        <f t="shared" si="64"/>
        <v>0</v>
      </c>
      <c r="N55" s="377"/>
      <c r="O55" s="377"/>
      <c r="P55" s="377"/>
      <c r="Q55" s="377"/>
      <c r="R55" s="377"/>
      <c r="S55" s="377"/>
      <c r="T55" s="377"/>
      <c r="U55" s="307">
        <f t="shared" si="65"/>
        <v>0</v>
      </c>
      <c r="V55" s="377"/>
      <c r="W55" s="377"/>
      <c r="X55" s="377"/>
      <c r="Y55" s="377"/>
      <c r="Z55" s="377"/>
      <c r="AA55" s="377">
        <f t="shared" si="66"/>
        <v>0</v>
      </c>
      <c r="AB55" s="377"/>
      <c r="AC55" s="377"/>
      <c r="AD55" s="377"/>
      <c r="AE55" s="377"/>
      <c r="AF55" s="377"/>
      <c r="AG55" s="377"/>
      <c r="AH55" s="377"/>
      <c r="AI55" s="377"/>
      <c r="AJ55" s="377"/>
      <c r="AK55" s="377"/>
      <c r="AL55" s="377">
        <f t="shared" si="67"/>
        <v>0</v>
      </c>
      <c r="AM55" s="377"/>
      <c r="AN55" s="377"/>
      <c r="AO55" s="377"/>
      <c r="AP55" s="377"/>
      <c r="AQ55" s="377"/>
      <c r="AR55" s="377"/>
      <c r="AS55" s="377">
        <f>SUM(AT55:BC55)-AW55</f>
        <v>0</v>
      </c>
      <c r="AT55" s="377"/>
      <c r="AU55" s="377"/>
      <c r="AV55" s="377"/>
      <c r="AW55" s="393">
        <f>$D55-$BO55</f>
        <v>0</v>
      </c>
      <c r="AX55" s="377"/>
      <c r="AY55" s="377"/>
      <c r="AZ55" s="377"/>
      <c r="BA55" s="377"/>
      <c r="BB55" s="377"/>
      <c r="BC55" s="377"/>
      <c r="BD55" s="377"/>
      <c r="BE55" s="377"/>
      <c r="BF55" s="377"/>
      <c r="BG55" s="377"/>
      <c r="BH55" s="377"/>
      <c r="BI55" s="377">
        <f t="shared" si="68"/>
        <v>0</v>
      </c>
      <c r="BJ55" s="377"/>
      <c r="BK55" s="377"/>
      <c r="BL55" s="377"/>
      <c r="BM55" s="377"/>
      <c r="BN55" s="377"/>
      <c r="BO55" s="307">
        <f>E55+SUM(V55:Z55)+AA55+AL55+SUM(AT55:AV55)+SUM(AX55:BI55)</f>
        <v>0</v>
      </c>
      <c r="BP55" s="307">
        <f>AW73-BO55</f>
        <v>0</v>
      </c>
      <c r="BQ55" s="307">
        <f t="shared" si="10"/>
        <v>0</v>
      </c>
    </row>
    <row r="56" spans="1:71" s="67" customFormat="1" ht="28">
      <c r="A56" s="388"/>
      <c r="B56" s="389" t="s">
        <v>1796</v>
      </c>
      <c r="C56" s="388" t="s">
        <v>1817</v>
      </c>
      <c r="D56" s="390">
        <f>'01CH'!D55</f>
        <v>0.67300000000000004</v>
      </c>
      <c r="E56" s="307">
        <f t="shared" si="19"/>
        <v>0</v>
      </c>
      <c r="F56" s="307">
        <f t="shared" si="63"/>
        <v>0</v>
      </c>
      <c r="G56" s="307"/>
      <c r="H56" s="307"/>
      <c r="I56" s="377"/>
      <c r="J56" s="377"/>
      <c r="K56" s="377"/>
      <c r="L56" s="377"/>
      <c r="M56" s="377">
        <f t="shared" si="64"/>
        <v>0</v>
      </c>
      <c r="N56" s="377"/>
      <c r="O56" s="377"/>
      <c r="P56" s="377"/>
      <c r="Q56" s="377"/>
      <c r="R56" s="377"/>
      <c r="S56" s="377"/>
      <c r="T56" s="377"/>
      <c r="U56" s="307">
        <f t="shared" si="65"/>
        <v>0</v>
      </c>
      <c r="V56" s="377"/>
      <c r="W56" s="377"/>
      <c r="X56" s="377"/>
      <c r="Y56" s="377"/>
      <c r="Z56" s="377"/>
      <c r="AA56" s="377">
        <f t="shared" si="66"/>
        <v>0</v>
      </c>
      <c r="AB56" s="377"/>
      <c r="AC56" s="377"/>
      <c r="AD56" s="377"/>
      <c r="AE56" s="377"/>
      <c r="AF56" s="377"/>
      <c r="AG56" s="377"/>
      <c r="AH56" s="377"/>
      <c r="AI56" s="377"/>
      <c r="AJ56" s="377"/>
      <c r="AK56" s="377"/>
      <c r="AL56" s="377">
        <f t="shared" si="67"/>
        <v>0</v>
      </c>
      <c r="AM56" s="377"/>
      <c r="AN56" s="377"/>
      <c r="AO56" s="377"/>
      <c r="AP56" s="377"/>
      <c r="AQ56" s="377"/>
      <c r="AR56" s="377"/>
      <c r="AS56" s="377">
        <f>SUM(AT56:BC56)-AX56</f>
        <v>0</v>
      </c>
      <c r="AT56" s="377"/>
      <c r="AU56" s="377"/>
      <c r="AV56" s="377"/>
      <c r="AW56" s="377"/>
      <c r="AX56" s="393">
        <f>$D56-$BO56</f>
        <v>0.67300000000000004</v>
      </c>
      <c r="AY56" s="377"/>
      <c r="AZ56" s="377"/>
      <c r="BA56" s="377"/>
      <c r="BB56" s="377"/>
      <c r="BC56" s="377"/>
      <c r="BD56" s="377"/>
      <c r="BE56" s="377"/>
      <c r="BF56" s="377"/>
      <c r="BG56" s="377"/>
      <c r="BH56" s="377"/>
      <c r="BI56" s="377">
        <f t="shared" si="68"/>
        <v>0</v>
      </c>
      <c r="BJ56" s="377"/>
      <c r="BK56" s="377"/>
      <c r="BL56" s="377"/>
      <c r="BM56" s="377"/>
      <c r="BN56" s="377"/>
      <c r="BO56" s="307">
        <f>E56+SUM(V56:AA56)+AL56+SUM(AT56:AW56)+SUM(AY56:BI56)</f>
        <v>0</v>
      </c>
      <c r="BP56" s="308">
        <f>AX73-BO56</f>
        <v>0.96699999999999997</v>
      </c>
      <c r="BQ56" s="307">
        <f t="shared" si="10"/>
        <v>1.6400000000000001</v>
      </c>
    </row>
    <row r="57" spans="1:71" s="67" customFormat="1" ht="16.5" customHeight="1">
      <c r="A57" s="388"/>
      <c r="B57" s="398" t="s">
        <v>1797</v>
      </c>
      <c r="C57" s="399" t="s">
        <v>36</v>
      </c>
      <c r="D57" s="390">
        <f>'01CH'!D56</f>
        <v>0.13</v>
      </c>
      <c r="E57" s="307">
        <f t="shared" si="19"/>
        <v>0</v>
      </c>
      <c r="F57" s="307">
        <f t="shared" si="63"/>
        <v>0</v>
      </c>
      <c r="G57" s="307"/>
      <c r="H57" s="307"/>
      <c r="I57" s="377"/>
      <c r="J57" s="377"/>
      <c r="K57" s="377"/>
      <c r="L57" s="377"/>
      <c r="M57" s="377">
        <f t="shared" si="64"/>
        <v>0</v>
      </c>
      <c r="N57" s="377"/>
      <c r="O57" s="377"/>
      <c r="P57" s="377"/>
      <c r="Q57" s="377"/>
      <c r="R57" s="377"/>
      <c r="S57" s="377"/>
      <c r="T57" s="377"/>
      <c r="U57" s="307">
        <f t="shared" si="65"/>
        <v>0</v>
      </c>
      <c r="V57" s="377"/>
      <c r="W57" s="377"/>
      <c r="X57" s="377"/>
      <c r="Y57" s="377"/>
      <c r="Z57" s="377"/>
      <c r="AA57" s="377">
        <f t="shared" si="66"/>
        <v>0</v>
      </c>
      <c r="AB57" s="377"/>
      <c r="AC57" s="377"/>
      <c r="AD57" s="377"/>
      <c r="AE57" s="377"/>
      <c r="AF57" s="377"/>
      <c r="AG57" s="377"/>
      <c r="AH57" s="377"/>
      <c r="AI57" s="377"/>
      <c r="AJ57" s="377"/>
      <c r="AK57" s="377"/>
      <c r="AL57" s="377">
        <f t="shared" si="67"/>
        <v>0</v>
      </c>
      <c r="AM57" s="377"/>
      <c r="AN57" s="377"/>
      <c r="AO57" s="377"/>
      <c r="AP57" s="377"/>
      <c r="AQ57" s="377"/>
      <c r="AR57" s="377"/>
      <c r="AS57" s="377">
        <f>SUM(AT57:BC57)-AY57</f>
        <v>0</v>
      </c>
      <c r="AT57" s="377"/>
      <c r="AU57" s="377"/>
      <c r="AV57" s="377"/>
      <c r="AW57" s="377"/>
      <c r="AX57" s="377"/>
      <c r="AY57" s="393">
        <f>$D57-$BO57</f>
        <v>0.13</v>
      </c>
      <c r="AZ57" s="377"/>
      <c r="BA57" s="377"/>
      <c r="BB57" s="377"/>
      <c r="BC57" s="377"/>
      <c r="BD57" s="377"/>
      <c r="BE57" s="377"/>
      <c r="BF57" s="377"/>
      <c r="BG57" s="377"/>
      <c r="BH57" s="377"/>
      <c r="BI57" s="377">
        <f t="shared" si="68"/>
        <v>0</v>
      </c>
      <c r="BJ57" s="377"/>
      <c r="BK57" s="377"/>
      <c r="BL57" s="377"/>
      <c r="BM57" s="377"/>
      <c r="BN57" s="377"/>
      <c r="BO57" s="307">
        <f>E57+SUM(V57:AA57)+AL57+SUM(AT57:AX57)+SUM(AZ57:BI57)</f>
        <v>0</v>
      </c>
      <c r="BP57" s="307">
        <f>AY73-BO57</f>
        <v>0</v>
      </c>
      <c r="BQ57" s="307">
        <f t="shared" si="10"/>
        <v>0.13</v>
      </c>
    </row>
    <row r="58" spans="1:71" s="67" customFormat="1" ht="16.5" customHeight="1">
      <c r="A58" s="388"/>
      <c r="B58" s="398" t="s">
        <v>1798</v>
      </c>
      <c r="C58" s="399" t="s">
        <v>44</v>
      </c>
      <c r="D58" s="390">
        <f>'01CH'!D57</f>
        <v>1.6460000000000001</v>
      </c>
      <c r="E58" s="307">
        <f t="shared" si="19"/>
        <v>0</v>
      </c>
      <c r="F58" s="307">
        <f t="shared" si="63"/>
        <v>0</v>
      </c>
      <c r="G58" s="307"/>
      <c r="H58" s="307"/>
      <c r="I58" s="377"/>
      <c r="J58" s="377"/>
      <c r="K58" s="377"/>
      <c r="L58" s="377"/>
      <c r="M58" s="377">
        <f t="shared" si="64"/>
        <v>0</v>
      </c>
      <c r="N58" s="377"/>
      <c r="O58" s="377"/>
      <c r="P58" s="377"/>
      <c r="Q58" s="377"/>
      <c r="R58" s="377"/>
      <c r="S58" s="377"/>
      <c r="T58" s="377"/>
      <c r="U58" s="307">
        <f t="shared" si="65"/>
        <v>0</v>
      </c>
      <c r="V58" s="377"/>
      <c r="W58" s="377"/>
      <c r="X58" s="377"/>
      <c r="Y58" s="377"/>
      <c r="Z58" s="377"/>
      <c r="AA58" s="377">
        <f t="shared" si="66"/>
        <v>0</v>
      </c>
      <c r="AB58" s="377"/>
      <c r="AC58" s="377"/>
      <c r="AD58" s="377"/>
      <c r="AE58" s="377"/>
      <c r="AF58" s="377"/>
      <c r="AG58" s="377"/>
      <c r="AH58" s="377"/>
      <c r="AI58" s="377"/>
      <c r="AJ58" s="377"/>
      <c r="AK58" s="377"/>
      <c r="AL58" s="377">
        <f t="shared" si="67"/>
        <v>0</v>
      </c>
      <c r="AM58" s="377"/>
      <c r="AN58" s="377"/>
      <c r="AO58" s="377"/>
      <c r="AP58" s="377"/>
      <c r="AQ58" s="377"/>
      <c r="AR58" s="377"/>
      <c r="AS58" s="377">
        <f>SUM(AT58:BC58)-AZ58</f>
        <v>0</v>
      </c>
      <c r="AT58" s="377"/>
      <c r="AU58" s="377"/>
      <c r="AV58" s="377"/>
      <c r="AW58" s="377"/>
      <c r="AX58" s="377"/>
      <c r="AY58" s="377"/>
      <c r="AZ58" s="393">
        <f>$D58-$BO58</f>
        <v>1.6460000000000001</v>
      </c>
      <c r="BA58" s="377"/>
      <c r="BB58" s="377"/>
      <c r="BC58" s="377"/>
      <c r="BD58" s="377"/>
      <c r="BE58" s="377"/>
      <c r="BF58" s="377"/>
      <c r="BG58" s="377"/>
      <c r="BH58" s="377"/>
      <c r="BI58" s="377">
        <f t="shared" si="68"/>
        <v>0</v>
      </c>
      <c r="BJ58" s="377"/>
      <c r="BK58" s="377"/>
      <c r="BL58" s="377"/>
      <c r="BM58" s="377"/>
      <c r="BN58" s="377"/>
      <c r="BO58" s="307">
        <f>E58+SUM(V58:AA58)+AL58+SUM(AT58:AY58)+SUM(BA58:BI58)</f>
        <v>0</v>
      </c>
      <c r="BP58" s="308">
        <f>AZ73-BO58</f>
        <v>107.22</v>
      </c>
      <c r="BQ58" s="307">
        <f t="shared" si="10"/>
        <v>108.866</v>
      </c>
    </row>
    <row r="59" spans="1:71" s="67" customFormat="1" ht="28">
      <c r="A59" s="388"/>
      <c r="B59" s="398" t="s">
        <v>1799</v>
      </c>
      <c r="C59" s="399" t="s">
        <v>45</v>
      </c>
      <c r="D59" s="390">
        <f>'01CH'!D58</f>
        <v>0.67200000000000015</v>
      </c>
      <c r="E59" s="307">
        <f t="shared" si="19"/>
        <v>0</v>
      </c>
      <c r="F59" s="307">
        <f t="shared" si="63"/>
        <v>0</v>
      </c>
      <c r="G59" s="307"/>
      <c r="H59" s="307"/>
      <c r="I59" s="377"/>
      <c r="J59" s="377"/>
      <c r="K59" s="377"/>
      <c r="L59" s="377"/>
      <c r="M59" s="377">
        <f t="shared" si="64"/>
        <v>0</v>
      </c>
      <c r="N59" s="377"/>
      <c r="O59" s="377"/>
      <c r="P59" s="377"/>
      <c r="Q59" s="377"/>
      <c r="R59" s="377"/>
      <c r="S59" s="377"/>
      <c r="T59" s="377"/>
      <c r="U59" s="307">
        <f t="shared" si="65"/>
        <v>0.04</v>
      </c>
      <c r="V59" s="377">
        <v>0.04</v>
      </c>
      <c r="W59" s="377">
        <v>0</v>
      </c>
      <c r="X59" s="377">
        <v>0</v>
      </c>
      <c r="Y59" s="377"/>
      <c r="Z59" s="377"/>
      <c r="AA59" s="377">
        <f t="shared" si="66"/>
        <v>0</v>
      </c>
      <c r="AB59" s="377"/>
      <c r="AC59" s="377"/>
      <c r="AD59" s="377"/>
      <c r="AE59" s="377"/>
      <c r="AF59" s="377"/>
      <c r="AG59" s="377"/>
      <c r="AH59" s="377"/>
      <c r="AI59" s="377"/>
      <c r="AJ59" s="377"/>
      <c r="AK59" s="377"/>
      <c r="AL59" s="377">
        <f t="shared" si="67"/>
        <v>0</v>
      </c>
      <c r="AM59" s="377"/>
      <c r="AN59" s="377"/>
      <c r="AO59" s="377"/>
      <c r="AP59" s="377"/>
      <c r="AQ59" s="377"/>
      <c r="AR59" s="377"/>
      <c r="AS59" s="377">
        <f>SUM(AT59:BC59)-BA59</f>
        <v>0</v>
      </c>
      <c r="AT59" s="377"/>
      <c r="AU59" s="377"/>
      <c r="AV59" s="377"/>
      <c r="AW59" s="377"/>
      <c r="AX59" s="377"/>
      <c r="AY59" s="377"/>
      <c r="AZ59" s="377"/>
      <c r="BA59" s="393">
        <f>$D59-$BO59</f>
        <v>0.63200000000000012</v>
      </c>
      <c r="BB59" s="377"/>
      <c r="BC59" s="377"/>
      <c r="BD59" s="377"/>
      <c r="BE59" s="377"/>
      <c r="BF59" s="377"/>
      <c r="BG59" s="377"/>
      <c r="BH59" s="377"/>
      <c r="BI59" s="377">
        <f t="shared" si="68"/>
        <v>0</v>
      </c>
      <c r="BJ59" s="377"/>
      <c r="BK59" s="377"/>
      <c r="BL59" s="377"/>
      <c r="BM59" s="377"/>
      <c r="BN59" s="377"/>
      <c r="BO59" s="307">
        <f>E59+SUM(V59:AA59)+AL59+SUM(AT59:AZ59)+SUM(BB59:BI59)</f>
        <v>0.04</v>
      </c>
      <c r="BP59" s="308">
        <f>BA73-BO59</f>
        <v>-0.04</v>
      </c>
      <c r="BQ59" s="307">
        <f t="shared" si="10"/>
        <v>0.63200000000000012</v>
      </c>
    </row>
    <row r="60" spans="1:71" s="67" customFormat="1" ht="16.5" customHeight="1">
      <c r="A60" s="388"/>
      <c r="B60" s="398" t="s">
        <v>1800</v>
      </c>
      <c r="C60" s="399" t="s">
        <v>52</v>
      </c>
      <c r="D60" s="390">
        <f>'01CH'!D59</f>
        <v>3.1280000000000001</v>
      </c>
      <c r="E60" s="307">
        <f t="shared" si="19"/>
        <v>0</v>
      </c>
      <c r="F60" s="307">
        <f t="shared" si="63"/>
        <v>0</v>
      </c>
      <c r="G60" s="307"/>
      <c r="H60" s="307"/>
      <c r="I60" s="377"/>
      <c r="J60" s="377"/>
      <c r="K60" s="377"/>
      <c r="L60" s="377"/>
      <c r="M60" s="377">
        <f t="shared" si="64"/>
        <v>0</v>
      </c>
      <c r="N60" s="377"/>
      <c r="O60" s="377"/>
      <c r="P60" s="377"/>
      <c r="Q60" s="377"/>
      <c r="R60" s="377"/>
      <c r="S60" s="377"/>
      <c r="T60" s="377"/>
      <c r="U60" s="307">
        <f t="shared" si="65"/>
        <v>0.02</v>
      </c>
      <c r="V60" s="377">
        <v>0.02</v>
      </c>
      <c r="W60" s="377">
        <v>0</v>
      </c>
      <c r="X60" s="377">
        <v>0</v>
      </c>
      <c r="Y60" s="377"/>
      <c r="Z60" s="377"/>
      <c r="AA60" s="377">
        <f t="shared" si="66"/>
        <v>0</v>
      </c>
      <c r="AB60" s="377"/>
      <c r="AC60" s="377"/>
      <c r="AD60" s="377"/>
      <c r="AE60" s="377"/>
      <c r="AF60" s="377"/>
      <c r="AG60" s="377"/>
      <c r="AH60" s="377"/>
      <c r="AI60" s="377"/>
      <c r="AJ60" s="377"/>
      <c r="AK60" s="377"/>
      <c r="AL60" s="377">
        <f t="shared" si="67"/>
        <v>0</v>
      </c>
      <c r="AM60" s="377"/>
      <c r="AN60" s="377"/>
      <c r="AO60" s="377"/>
      <c r="AP60" s="377"/>
      <c r="AQ60" s="377"/>
      <c r="AR60" s="377"/>
      <c r="AS60" s="377">
        <f>SUM(AT60:BC60)-BB60</f>
        <v>0</v>
      </c>
      <c r="AT60" s="377"/>
      <c r="AU60" s="377"/>
      <c r="AV60" s="377"/>
      <c r="AW60" s="377"/>
      <c r="AX60" s="377"/>
      <c r="AY60" s="377"/>
      <c r="AZ60" s="377"/>
      <c r="BA60" s="377"/>
      <c r="BB60" s="393">
        <f>$D60-$BO60</f>
        <v>3.1080000000000001</v>
      </c>
      <c r="BC60" s="377"/>
      <c r="BD60" s="377"/>
      <c r="BE60" s="377"/>
      <c r="BF60" s="377"/>
      <c r="BG60" s="377"/>
      <c r="BH60" s="377"/>
      <c r="BI60" s="377">
        <f t="shared" si="68"/>
        <v>0</v>
      </c>
      <c r="BJ60" s="377"/>
      <c r="BK60" s="377"/>
      <c r="BL60" s="377"/>
      <c r="BM60" s="377"/>
      <c r="BN60" s="377"/>
      <c r="BO60" s="307">
        <f>E60+SUM(V60:AA60)+SUM(AL60)+SUM(AT60:BA60)+SUM(BC60:BI60)</f>
        <v>0.02</v>
      </c>
      <c r="BP60" s="308">
        <f>BB73-BO60</f>
        <v>-0.02</v>
      </c>
      <c r="BQ60" s="307">
        <f t="shared" si="10"/>
        <v>3.1080000000000001</v>
      </c>
    </row>
    <row r="61" spans="1:71" s="67" customFormat="1" ht="31" customHeight="1">
      <c r="A61" s="388"/>
      <c r="B61" s="398" t="s">
        <v>1801</v>
      </c>
      <c r="C61" s="399" t="s">
        <v>101</v>
      </c>
      <c r="D61" s="390">
        <f>'01CH'!D60</f>
        <v>36.262</v>
      </c>
      <c r="E61" s="307">
        <f t="shared" si="19"/>
        <v>0</v>
      </c>
      <c r="F61" s="307">
        <f t="shared" si="63"/>
        <v>0</v>
      </c>
      <c r="G61" s="307"/>
      <c r="H61" s="307"/>
      <c r="I61" s="377"/>
      <c r="J61" s="377"/>
      <c r="K61" s="377"/>
      <c r="L61" s="377"/>
      <c r="M61" s="377">
        <f t="shared" si="64"/>
        <v>0</v>
      </c>
      <c r="N61" s="377"/>
      <c r="O61" s="377"/>
      <c r="P61" s="377"/>
      <c r="Q61" s="377"/>
      <c r="R61" s="377"/>
      <c r="S61" s="377"/>
      <c r="T61" s="377"/>
      <c r="U61" s="307">
        <f t="shared" si="65"/>
        <v>0.57399999999999995</v>
      </c>
      <c r="V61" s="377">
        <v>0.21</v>
      </c>
      <c r="W61" s="377">
        <v>0</v>
      </c>
      <c r="X61" s="377">
        <v>0.15</v>
      </c>
      <c r="Y61" s="377"/>
      <c r="Z61" s="377">
        <v>0.214</v>
      </c>
      <c r="AA61" s="377">
        <f t="shared" si="66"/>
        <v>0</v>
      </c>
      <c r="AB61" s="377"/>
      <c r="AC61" s="377"/>
      <c r="AD61" s="377"/>
      <c r="AE61" s="377"/>
      <c r="AF61" s="377"/>
      <c r="AG61" s="377"/>
      <c r="AH61" s="377"/>
      <c r="AI61" s="377"/>
      <c r="AJ61" s="377"/>
      <c r="AK61" s="377"/>
      <c r="AL61" s="377">
        <f t="shared" si="67"/>
        <v>0</v>
      </c>
      <c r="AM61" s="377"/>
      <c r="AN61" s="377"/>
      <c r="AO61" s="377"/>
      <c r="AP61" s="377"/>
      <c r="AQ61" s="377"/>
      <c r="AR61" s="377"/>
      <c r="AS61" s="377">
        <f>SUM(AT61:BC61)-BC61</f>
        <v>0</v>
      </c>
      <c r="AT61" s="377"/>
      <c r="AU61" s="377"/>
      <c r="AV61" s="377"/>
      <c r="AW61" s="377"/>
      <c r="AX61" s="377"/>
      <c r="AY61" s="377"/>
      <c r="AZ61" s="377"/>
      <c r="BA61" s="377"/>
      <c r="BB61" s="377"/>
      <c r="BC61" s="393">
        <f>$D61-$BO61</f>
        <v>35.688000000000002</v>
      </c>
      <c r="BD61" s="377"/>
      <c r="BE61" s="377"/>
      <c r="BF61" s="377"/>
      <c r="BG61" s="377"/>
      <c r="BH61" s="377"/>
      <c r="BI61" s="377">
        <f t="shared" si="68"/>
        <v>0</v>
      </c>
      <c r="BJ61" s="377"/>
      <c r="BK61" s="377"/>
      <c r="BL61" s="377"/>
      <c r="BM61" s="377"/>
      <c r="BN61" s="377"/>
      <c r="BO61" s="307">
        <f>E61+SUM(V61:AA61)+SUM(AL61)+SUM(AT61:BB61)+SUM(BD61:BI61)</f>
        <v>0.57399999999999995</v>
      </c>
      <c r="BP61" s="308">
        <f>BC73-BO61</f>
        <v>0.76809999999999989</v>
      </c>
      <c r="BQ61" s="307">
        <f t="shared" si="10"/>
        <v>37.030099999999997</v>
      </c>
    </row>
    <row r="62" spans="1:71" s="67" customFormat="1" ht="16.5" customHeight="1">
      <c r="A62" s="400" t="s">
        <v>69</v>
      </c>
      <c r="B62" s="398" t="s">
        <v>1802</v>
      </c>
      <c r="C62" s="399" t="s">
        <v>37</v>
      </c>
      <c r="D62" s="390">
        <f>'01CH'!D61</f>
        <v>35.978000000000002</v>
      </c>
      <c r="E62" s="307">
        <f t="shared" si="19"/>
        <v>0</v>
      </c>
      <c r="F62" s="307">
        <f t="shared" si="63"/>
        <v>0</v>
      </c>
      <c r="G62" s="307"/>
      <c r="H62" s="307"/>
      <c r="I62" s="377"/>
      <c r="J62" s="377"/>
      <c r="K62" s="377"/>
      <c r="L62" s="377"/>
      <c r="M62" s="377">
        <f t="shared" si="64"/>
        <v>0</v>
      </c>
      <c r="N62" s="377"/>
      <c r="O62" s="377"/>
      <c r="P62" s="377"/>
      <c r="Q62" s="377"/>
      <c r="R62" s="377"/>
      <c r="S62" s="377"/>
      <c r="T62" s="377"/>
      <c r="U62" s="307">
        <f t="shared" si="65"/>
        <v>35.978000000000002</v>
      </c>
      <c r="V62" s="377">
        <v>0.63</v>
      </c>
      <c r="W62" s="377">
        <v>0</v>
      </c>
      <c r="X62" s="377">
        <v>0</v>
      </c>
      <c r="Y62" s="377"/>
      <c r="Z62" s="377"/>
      <c r="AA62" s="377">
        <f t="shared" si="66"/>
        <v>0</v>
      </c>
      <c r="AB62" s="377"/>
      <c r="AC62" s="377"/>
      <c r="AD62" s="377"/>
      <c r="AE62" s="377"/>
      <c r="AF62" s="377"/>
      <c r="AG62" s="377"/>
      <c r="AH62" s="377"/>
      <c r="AI62" s="377"/>
      <c r="AJ62" s="377"/>
      <c r="AK62" s="377"/>
      <c r="AL62" s="377">
        <f t="shared" si="67"/>
        <v>0</v>
      </c>
      <c r="AM62" s="377"/>
      <c r="AN62" s="377"/>
      <c r="AO62" s="377"/>
      <c r="AP62" s="377"/>
      <c r="AQ62" s="377"/>
      <c r="AR62" s="377"/>
      <c r="AS62" s="377">
        <f t="shared" ref="AS62:AS66" si="69">SUM(AT62:BC62)</f>
        <v>0.65</v>
      </c>
      <c r="AT62" s="377">
        <v>0.65</v>
      </c>
      <c r="AU62" s="377"/>
      <c r="AV62" s="377"/>
      <c r="AW62" s="377"/>
      <c r="AX62" s="377"/>
      <c r="AY62" s="377"/>
      <c r="AZ62" s="377"/>
      <c r="BA62" s="377"/>
      <c r="BB62" s="377"/>
      <c r="BC62" s="377"/>
      <c r="BD62" s="393">
        <f>$D62-$BO62</f>
        <v>34.698</v>
      </c>
      <c r="BE62" s="377"/>
      <c r="BF62" s="377"/>
      <c r="BG62" s="377"/>
      <c r="BH62" s="377"/>
      <c r="BI62" s="377">
        <f t="shared" si="68"/>
        <v>0</v>
      </c>
      <c r="BJ62" s="377"/>
      <c r="BK62" s="377"/>
      <c r="BL62" s="377"/>
      <c r="BM62" s="377"/>
      <c r="BN62" s="377"/>
      <c r="BO62" s="307">
        <f>E62+SUM(V62:AA62)+AL62+AS62+SUM(BE62:BI62)</f>
        <v>1.28</v>
      </c>
      <c r="BP62" s="308">
        <f>BD73-BO62</f>
        <v>-0.31000000000000205</v>
      </c>
      <c r="BQ62" s="307">
        <f t="shared" si="10"/>
        <v>35.667999999999999</v>
      </c>
    </row>
    <row r="63" spans="1:71" s="67" customFormat="1" ht="16.5" customHeight="1">
      <c r="A63" s="400" t="s">
        <v>70</v>
      </c>
      <c r="B63" s="398" t="s">
        <v>1803</v>
      </c>
      <c r="C63" s="399" t="s">
        <v>38</v>
      </c>
      <c r="D63" s="390">
        <f>'01CH'!D62</f>
        <v>13.515000000000002</v>
      </c>
      <c r="E63" s="307">
        <f t="shared" si="19"/>
        <v>0</v>
      </c>
      <c r="F63" s="307">
        <f t="shared" si="63"/>
        <v>0</v>
      </c>
      <c r="G63" s="307"/>
      <c r="H63" s="307"/>
      <c r="I63" s="377"/>
      <c r="J63" s="377"/>
      <c r="K63" s="377"/>
      <c r="L63" s="377"/>
      <c r="M63" s="377">
        <f t="shared" si="64"/>
        <v>0</v>
      </c>
      <c r="N63" s="377"/>
      <c r="O63" s="377"/>
      <c r="P63" s="377"/>
      <c r="Q63" s="377"/>
      <c r="R63" s="377"/>
      <c r="S63" s="377"/>
      <c r="T63" s="377"/>
      <c r="U63" s="307">
        <f t="shared" si="65"/>
        <v>13.515000000000002</v>
      </c>
      <c r="V63" s="377">
        <v>0.25</v>
      </c>
      <c r="W63" s="377">
        <v>0</v>
      </c>
      <c r="X63" s="377">
        <v>0</v>
      </c>
      <c r="Y63" s="377"/>
      <c r="Z63" s="377"/>
      <c r="AA63" s="377">
        <f t="shared" si="66"/>
        <v>0</v>
      </c>
      <c r="AB63" s="377"/>
      <c r="AC63" s="377"/>
      <c r="AD63" s="377"/>
      <c r="AE63" s="377"/>
      <c r="AF63" s="377"/>
      <c r="AG63" s="377"/>
      <c r="AH63" s="377"/>
      <c r="AI63" s="377"/>
      <c r="AJ63" s="377"/>
      <c r="AK63" s="377"/>
      <c r="AL63" s="377">
        <f t="shared" si="67"/>
        <v>0.23848799999999998</v>
      </c>
      <c r="AM63" s="377"/>
      <c r="AN63" s="377"/>
      <c r="AO63" s="377"/>
      <c r="AP63" s="377">
        <v>0.23848799999999998</v>
      </c>
      <c r="AQ63" s="377"/>
      <c r="AR63" s="377"/>
      <c r="AS63" s="377">
        <f t="shared" si="69"/>
        <v>0.16499999999999998</v>
      </c>
      <c r="AT63" s="377">
        <v>0.15</v>
      </c>
      <c r="AU63" s="377">
        <v>0</v>
      </c>
      <c r="AV63" s="377"/>
      <c r="AW63" s="377"/>
      <c r="AX63" s="377"/>
      <c r="AY63" s="377"/>
      <c r="AZ63" s="377"/>
      <c r="BA63" s="377"/>
      <c r="BB63" s="377"/>
      <c r="BC63" s="377">
        <v>1.4999999999999999E-2</v>
      </c>
      <c r="BD63" s="377"/>
      <c r="BE63" s="393">
        <f>$D63-$BO63</f>
        <v>12.848512000000003</v>
      </c>
      <c r="BF63" s="377">
        <v>1.2999999999999999E-2</v>
      </c>
      <c r="BG63" s="377"/>
      <c r="BH63" s="377"/>
      <c r="BI63" s="377">
        <f t="shared" si="68"/>
        <v>0</v>
      </c>
      <c r="BJ63" s="377"/>
      <c r="BK63" s="377"/>
      <c r="BL63" s="377"/>
      <c r="BM63" s="377"/>
      <c r="BN63" s="377"/>
      <c r="BO63" s="307">
        <f>E63+SUM(V63:AA63)+AL63+AS63+SUM(BF63:BI63)+BD63</f>
        <v>0.66648799999999997</v>
      </c>
      <c r="BP63" s="308">
        <f>BE73-BO63</f>
        <v>-0.28648799999999996</v>
      </c>
      <c r="BQ63" s="307">
        <f t="shared" si="10"/>
        <v>13.228512000000002</v>
      </c>
    </row>
    <row r="64" spans="1:71" s="67" customFormat="1" ht="30" customHeight="1">
      <c r="A64" s="400" t="s">
        <v>74</v>
      </c>
      <c r="B64" s="389" t="s">
        <v>1804</v>
      </c>
      <c r="C64" s="388" t="s">
        <v>39</v>
      </c>
      <c r="D64" s="390">
        <f>'01CH'!D63</f>
        <v>119.02200000000001</v>
      </c>
      <c r="E64" s="307">
        <f t="shared" si="19"/>
        <v>0</v>
      </c>
      <c r="F64" s="307">
        <f t="shared" si="63"/>
        <v>0</v>
      </c>
      <c r="G64" s="307"/>
      <c r="H64" s="307"/>
      <c r="I64" s="377"/>
      <c r="J64" s="377"/>
      <c r="K64" s="377"/>
      <c r="L64" s="377"/>
      <c r="M64" s="377">
        <f t="shared" si="64"/>
        <v>0</v>
      </c>
      <c r="N64" s="377"/>
      <c r="O64" s="377"/>
      <c r="P64" s="377"/>
      <c r="Q64" s="377"/>
      <c r="R64" s="377"/>
      <c r="S64" s="377"/>
      <c r="T64" s="377"/>
      <c r="U64" s="307">
        <f t="shared" si="65"/>
        <v>119.02200000000001</v>
      </c>
      <c r="V64" s="377">
        <v>12.260000000000003</v>
      </c>
      <c r="W64" s="377">
        <v>0.04</v>
      </c>
      <c r="X64" s="377">
        <v>0</v>
      </c>
      <c r="Y64" s="377"/>
      <c r="Z64" s="377"/>
      <c r="AA64" s="377">
        <f t="shared" si="66"/>
        <v>7.4999999999999997E-2</v>
      </c>
      <c r="AB64" s="377">
        <v>7.4999999999999997E-2</v>
      </c>
      <c r="AC64" s="377"/>
      <c r="AD64" s="377"/>
      <c r="AE64" s="377"/>
      <c r="AF64" s="377"/>
      <c r="AG64" s="377"/>
      <c r="AH64" s="377"/>
      <c r="AI64" s="377"/>
      <c r="AJ64" s="377"/>
      <c r="AK64" s="377"/>
      <c r="AL64" s="377">
        <f t="shared" si="67"/>
        <v>1.5747268014515292</v>
      </c>
      <c r="AM64" s="377">
        <v>1.2547268014515292</v>
      </c>
      <c r="AN64" s="377">
        <v>0.30000000000000004</v>
      </c>
      <c r="AO64" s="377"/>
      <c r="AP64" s="377"/>
      <c r="AQ64" s="377">
        <v>0.02</v>
      </c>
      <c r="AR64" s="377"/>
      <c r="AS64" s="377">
        <f t="shared" si="69"/>
        <v>0.18</v>
      </c>
      <c r="AT64" s="377">
        <v>0.08</v>
      </c>
      <c r="AU64" s="377">
        <v>0</v>
      </c>
      <c r="AV64" s="377"/>
      <c r="AW64" s="377"/>
      <c r="AX64" s="377"/>
      <c r="AY64" s="377"/>
      <c r="AZ64" s="377">
        <v>0.1</v>
      </c>
      <c r="BA64" s="377">
        <v>0</v>
      </c>
      <c r="BB64" s="377"/>
      <c r="BC64" s="377"/>
      <c r="BD64" s="377"/>
      <c r="BE64" s="377"/>
      <c r="BF64" s="393">
        <f>$D64-$BO64</f>
        <v>104.89227319854848</v>
      </c>
      <c r="BG64" s="377"/>
      <c r="BH64" s="377"/>
      <c r="BI64" s="377">
        <f t="shared" si="68"/>
        <v>0</v>
      </c>
      <c r="BJ64" s="377"/>
      <c r="BK64" s="377"/>
      <c r="BL64" s="377"/>
      <c r="BM64" s="377"/>
      <c r="BN64" s="377"/>
      <c r="BO64" s="307">
        <f>E64+SUM(V64:AA64)+AL64+AS64+SUM(BG64:BI64)+BD64+BE64</f>
        <v>14.129726801451531</v>
      </c>
      <c r="BP64" s="308">
        <f>BF73-BO64</f>
        <v>14.134573198548475</v>
      </c>
      <c r="BQ64" s="307">
        <f t="shared" si="10"/>
        <v>133.15657319854847</v>
      </c>
    </row>
    <row r="65" spans="1:69" s="67" customFormat="1" ht="16.5" customHeight="1">
      <c r="A65" s="400" t="s">
        <v>75</v>
      </c>
      <c r="B65" s="389" t="s">
        <v>76</v>
      </c>
      <c r="C65" s="388" t="s">
        <v>1856</v>
      </c>
      <c r="D65" s="390">
        <f>'01CH'!D64</f>
        <v>2491.8869999999997</v>
      </c>
      <c r="E65" s="307">
        <f t="shared" si="19"/>
        <v>0</v>
      </c>
      <c r="F65" s="307">
        <f t="shared" si="63"/>
        <v>0</v>
      </c>
      <c r="G65" s="307"/>
      <c r="H65" s="307"/>
      <c r="I65" s="377"/>
      <c r="J65" s="377"/>
      <c r="K65" s="377"/>
      <c r="L65" s="377"/>
      <c r="M65" s="377">
        <f t="shared" si="64"/>
        <v>0</v>
      </c>
      <c r="N65" s="377"/>
      <c r="O65" s="377"/>
      <c r="P65" s="377"/>
      <c r="Q65" s="377"/>
      <c r="R65" s="377"/>
      <c r="S65" s="377"/>
      <c r="T65" s="377"/>
      <c r="U65" s="307">
        <f t="shared" si="65"/>
        <v>2491.8869999999997</v>
      </c>
      <c r="V65" s="377">
        <v>109.74</v>
      </c>
      <c r="W65" s="377">
        <v>4.8599999999999994</v>
      </c>
      <c r="X65" s="377">
        <v>0.11</v>
      </c>
      <c r="Y65" s="377">
        <v>1.286162</v>
      </c>
      <c r="Z65" s="377"/>
      <c r="AA65" s="377">
        <f t="shared" si="66"/>
        <v>1.5400000000000003</v>
      </c>
      <c r="AB65" s="377">
        <v>1.3900000000000001</v>
      </c>
      <c r="AC65" s="377"/>
      <c r="AD65" s="377">
        <v>0.1</v>
      </c>
      <c r="AE65" s="377">
        <v>0</v>
      </c>
      <c r="AF65" s="377">
        <v>0.05</v>
      </c>
      <c r="AG65" s="377"/>
      <c r="AH65" s="377"/>
      <c r="AI65" s="377"/>
      <c r="AJ65" s="377"/>
      <c r="AK65" s="377"/>
      <c r="AL65" s="377">
        <f t="shared" si="67"/>
        <v>109.46902800000001</v>
      </c>
      <c r="AM65" s="377">
        <v>70.180000000000007</v>
      </c>
      <c r="AN65" s="377">
        <v>30.17</v>
      </c>
      <c r="AO65" s="377"/>
      <c r="AP65" s="377">
        <v>9.1190279999999984</v>
      </c>
      <c r="AQ65" s="377"/>
      <c r="AR65" s="377"/>
      <c r="AS65" s="377">
        <f t="shared" si="69"/>
        <v>47.677100000000003</v>
      </c>
      <c r="AT65" s="377">
        <v>44.480000000000004</v>
      </c>
      <c r="AU65" s="377">
        <v>0</v>
      </c>
      <c r="AV65" s="377"/>
      <c r="AW65" s="377"/>
      <c r="AX65" s="377"/>
      <c r="AY65" s="377"/>
      <c r="AZ65" s="377">
        <v>3.04</v>
      </c>
      <c r="BA65" s="377">
        <v>0</v>
      </c>
      <c r="BB65" s="377"/>
      <c r="BC65" s="377">
        <v>0.15709999999999999</v>
      </c>
      <c r="BD65" s="377"/>
      <c r="BE65" s="377"/>
      <c r="BF65" s="377">
        <v>9.8000000000000004E-2</v>
      </c>
      <c r="BG65" s="393">
        <f>$D65-$BO65</f>
        <v>2217.1067099999996</v>
      </c>
      <c r="BH65" s="377"/>
      <c r="BI65" s="377">
        <f t="shared" si="68"/>
        <v>0</v>
      </c>
      <c r="BJ65" s="377"/>
      <c r="BK65" s="377"/>
      <c r="BL65" s="377"/>
      <c r="BM65" s="377"/>
      <c r="BN65" s="377"/>
      <c r="BO65" s="307">
        <f>E65+SUM(V65:AA65)+AL65+AS65+BD65+BE65+BF65+BH65+BI65</f>
        <v>274.78029000000004</v>
      </c>
      <c r="BP65" s="308">
        <f>BG73-BO65</f>
        <v>-274.78029000000004</v>
      </c>
      <c r="BQ65" s="307">
        <f t="shared" si="10"/>
        <v>2217.1067099999996</v>
      </c>
    </row>
    <row r="66" spans="1:69" s="66" customFormat="1" ht="16.5" customHeight="1">
      <c r="A66" s="400" t="s">
        <v>80</v>
      </c>
      <c r="B66" s="389" t="s">
        <v>103</v>
      </c>
      <c r="C66" s="388" t="s">
        <v>53</v>
      </c>
      <c r="D66" s="390">
        <f>'01CH'!D65</f>
        <v>0</v>
      </c>
      <c r="E66" s="307">
        <f t="shared" si="19"/>
        <v>0</v>
      </c>
      <c r="F66" s="307">
        <f t="shared" si="63"/>
        <v>0</v>
      </c>
      <c r="G66" s="307"/>
      <c r="H66" s="307"/>
      <c r="I66" s="377"/>
      <c r="J66" s="377"/>
      <c r="K66" s="377"/>
      <c r="L66" s="377"/>
      <c r="M66" s="377">
        <f t="shared" si="64"/>
        <v>0</v>
      </c>
      <c r="N66" s="377"/>
      <c r="O66" s="377"/>
      <c r="P66" s="377"/>
      <c r="Q66" s="377"/>
      <c r="R66" s="377"/>
      <c r="S66" s="377"/>
      <c r="T66" s="377"/>
      <c r="U66" s="307">
        <f t="shared" si="65"/>
        <v>0</v>
      </c>
      <c r="V66" s="377"/>
      <c r="W66" s="377"/>
      <c r="X66" s="377"/>
      <c r="Y66" s="377"/>
      <c r="Z66" s="377"/>
      <c r="AA66" s="377">
        <f t="shared" si="66"/>
        <v>0</v>
      </c>
      <c r="AB66" s="377"/>
      <c r="AC66" s="377"/>
      <c r="AD66" s="377"/>
      <c r="AE66" s="377"/>
      <c r="AF66" s="377"/>
      <c r="AG66" s="377"/>
      <c r="AH66" s="377"/>
      <c r="AI66" s="377"/>
      <c r="AJ66" s="377"/>
      <c r="AK66" s="377"/>
      <c r="AL66" s="377">
        <f t="shared" si="67"/>
        <v>0</v>
      </c>
      <c r="AM66" s="377"/>
      <c r="AN66" s="377"/>
      <c r="AO66" s="377"/>
      <c r="AP66" s="377"/>
      <c r="AQ66" s="377"/>
      <c r="AR66" s="377"/>
      <c r="AS66" s="377">
        <f t="shared" si="69"/>
        <v>0</v>
      </c>
      <c r="AT66" s="377"/>
      <c r="AU66" s="377"/>
      <c r="AV66" s="377"/>
      <c r="AW66" s="377"/>
      <c r="AX66" s="377"/>
      <c r="AY66" s="377"/>
      <c r="AZ66" s="377"/>
      <c r="BA66" s="377"/>
      <c r="BB66" s="377"/>
      <c r="BC66" s="377"/>
      <c r="BD66" s="377"/>
      <c r="BE66" s="377"/>
      <c r="BF66" s="377"/>
      <c r="BG66" s="377"/>
      <c r="BH66" s="393">
        <f>$D66-$BO66</f>
        <v>0</v>
      </c>
      <c r="BI66" s="377">
        <f t="shared" si="68"/>
        <v>0</v>
      </c>
      <c r="BJ66" s="377"/>
      <c r="BK66" s="377"/>
      <c r="BL66" s="377"/>
      <c r="BM66" s="377"/>
      <c r="BN66" s="377"/>
      <c r="BO66" s="307">
        <f>E66+SUM(V66:AA66)+AL66+AS66+SUM(BD66:BG66)+BI66</f>
        <v>0</v>
      </c>
      <c r="BP66" s="307">
        <f>BH73-BO66</f>
        <v>0</v>
      </c>
      <c r="BQ66" s="307">
        <f t="shared" si="10"/>
        <v>0</v>
      </c>
    </row>
    <row r="67" spans="1:69" s="64" customFormat="1" ht="16.5" customHeight="1">
      <c r="A67" s="401">
        <v>3</v>
      </c>
      <c r="B67" s="384" t="s">
        <v>54</v>
      </c>
      <c r="C67" s="381" t="s">
        <v>79</v>
      </c>
      <c r="D67" s="379">
        <f>'01CH'!D66</f>
        <v>0</v>
      </c>
      <c r="E67" s="307">
        <f t="shared" si="19"/>
        <v>0</v>
      </c>
      <c r="F67" s="383">
        <f>SUM(F68:F72)</f>
        <v>0</v>
      </c>
      <c r="G67" s="383">
        <f t="shared" ref="G67:BH67" si="70">SUM(G68:G72)</f>
        <v>0</v>
      </c>
      <c r="H67" s="383">
        <f t="shared" si="70"/>
        <v>0</v>
      </c>
      <c r="I67" s="383">
        <f t="shared" si="70"/>
        <v>0</v>
      </c>
      <c r="J67" s="383">
        <f t="shared" si="70"/>
        <v>0</v>
      </c>
      <c r="K67" s="383">
        <f t="shared" si="70"/>
        <v>0</v>
      </c>
      <c r="L67" s="383">
        <f t="shared" si="70"/>
        <v>0</v>
      </c>
      <c r="M67" s="383">
        <f t="shared" si="70"/>
        <v>0</v>
      </c>
      <c r="N67" s="383">
        <f t="shared" si="70"/>
        <v>0</v>
      </c>
      <c r="O67" s="383">
        <f t="shared" si="70"/>
        <v>0</v>
      </c>
      <c r="P67" s="383">
        <f t="shared" si="70"/>
        <v>0</v>
      </c>
      <c r="Q67" s="383">
        <f t="shared" si="70"/>
        <v>0</v>
      </c>
      <c r="R67" s="383">
        <f t="shared" si="70"/>
        <v>0</v>
      </c>
      <c r="S67" s="383">
        <f t="shared" si="70"/>
        <v>0</v>
      </c>
      <c r="T67" s="383">
        <f t="shared" si="70"/>
        <v>0</v>
      </c>
      <c r="U67" s="383">
        <f t="shared" si="70"/>
        <v>0</v>
      </c>
      <c r="V67" s="383">
        <f t="shared" si="70"/>
        <v>0</v>
      </c>
      <c r="W67" s="383">
        <f t="shared" si="70"/>
        <v>0</v>
      </c>
      <c r="X67" s="383">
        <f t="shared" si="70"/>
        <v>0</v>
      </c>
      <c r="Y67" s="383">
        <f t="shared" si="70"/>
        <v>0</v>
      </c>
      <c r="Z67" s="383">
        <f t="shared" si="70"/>
        <v>0</v>
      </c>
      <c r="AA67" s="383">
        <f t="shared" si="70"/>
        <v>0</v>
      </c>
      <c r="AB67" s="383">
        <f t="shared" si="70"/>
        <v>0</v>
      </c>
      <c r="AC67" s="383">
        <f t="shared" si="70"/>
        <v>0</v>
      </c>
      <c r="AD67" s="383">
        <f t="shared" si="70"/>
        <v>0</v>
      </c>
      <c r="AE67" s="383">
        <f t="shared" si="70"/>
        <v>0</v>
      </c>
      <c r="AF67" s="383">
        <f t="shared" si="70"/>
        <v>0</v>
      </c>
      <c r="AG67" s="383">
        <f t="shared" si="70"/>
        <v>0</v>
      </c>
      <c r="AH67" s="383">
        <f t="shared" si="70"/>
        <v>0</v>
      </c>
      <c r="AI67" s="383">
        <f t="shared" si="70"/>
        <v>0</v>
      </c>
      <c r="AJ67" s="383">
        <f t="shared" si="70"/>
        <v>0</v>
      </c>
      <c r="AK67" s="383">
        <f t="shared" si="70"/>
        <v>0</v>
      </c>
      <c r="AL67" s="383">
        <f t="shared" si="70"/>
        <v>0</v>
      </c>
      <c r="AM67" s="383">
        <f t="shared" si="70"/>
        <v>0</v>
      </c>
      <c r="AN67" s="383">
        <f t="shared" si="70"/>
        <v>0</v>
      </c>
      <c r="AO67" s="383">
        <f t="shared" si="70"/>
        <v>0</v>
      </c>
      <c r="AP67" s="383">
        <f t="shared" si="70"/>
        <v>0</v>
      </c>
      <c r="AQ67" s="383">
        <f t="shared" si="70"/>
        <v>0</v>
      </c>
      <c r="AR67" s="383">
        <f t="shared" si="70"/>
        <v>0</v>
      </c>
      <c r="AS67" s="383">
        <f t="shared" si="70"/>
        <v>0</v>
      </c>
      <c r="AT67" s="383">
        <f t="shared" si="70"/>
        <v>0</v>
      </c>
      <c r="AU67" s="383">
        <f t="shared" si="70"/>
        <v>0</v>
      </c>
      <c r="AV67" s="383">
        <f t="shared" si="70"/>
        <v>0</v>
      </c>
      <c r="AW67" s="383">
        <f t="shared" si="70"/>
        <v>0</v>
      </c>
      <c r="AX67" s="383">
        <f t="shared" si="70"/>
        <v>0</v>
      </c>
      <c r="AY67" s="383">
        <f t="shared" si="70"/>
        <v>0</v>
      </c>
      <c r="AZ67" s="383">
        <f t="shared" si="70"/>
        <v>0</v>
      </c>
      <c r="BA67" s="383">
        <f t="shared" si="70"/>
        <v>0</v>
      </c>
      <c r="BB67" s="383">
        <f t="shared" si="70"/>
        <v>0</v>
      </c>
      <c r="BC67" s="383">
        <f t="shared" si="70"/>
        <v>0</v>
      </c>
      <c r="BD67" s="383">
        <f t="shared" si="70"/>
        <v>0</v>
      </c>
      <c r="BE67" s="383">
        <f t="shared" si="70"/>
        <v>0</v>
      </c>
      <c r="BF67" s="383">
        <f t="shared" si="70"/>
        <v>0</v>
      </c>
      <c r="BG67" s="383">
        <f t="shared" si="70"/>
        <v>0</v>
      </c>
      <c r="BH67" s="383">
        <f t="shared" si="70"/>
        <v>0</v>
      </c>
      <c r="BI67" s="402">
        <f>BJ68+BK69+BL70+BM71+BN72</f>
        <v>0</v>
      </c>
      <c r="BJ67" s="383">
        <f>SUM(BJ68:BJ72)-BJ68</f>
        <v>0</v>
      </c>
      <c r="BK67" s="383">
        <f>SUM(BK68:BK72)-BK69</f>
        <v>0</v>
      </c>
      <c r="BL67" s="383">
        <f>SUM(BL68:BL72)-BL70</f>
        <v>0</v>
      </c>
      <c r="BM67" s="383">
        <f>SUM(BM68:BM72)-BM71</f>
        <v>0</v>
      </c>
      <c r="BN67" s="383">
        <f>SUM(BN68:BN72)-BN72</f>
        <v>0</v>
      </c>
      <c r="BO67" s="383">
        <f>E67+U67</f>
        <v>0</v>
      </c>
      <c r="BP67" s="383">
        <f>SUM(BP68:BP72)</f>
        <v>0</v>
      </c>
      <c r="BQ67" s="383">
        <f t="shared" si="10"/>
        <v>0</v>
      </c>
    </row>
    <row r="68" spans="1:69" s="64" customFormat="1" ht="32" customHeight="1">
      <c r="A68" s="400" t="s">
        <v>1807</v>
      </c>
      <c r="B68" s="389" t="s">
        <v>1805</v>
      </c>
      <c r="C68" s="388" t="s">
        <v>1818</v>
      </c>
      <c r="D68" s="379">
        <f>'01CH'!D67</f>
        <v>0</v>
      </c>
      <c r="E68" s="307">
        <f t="shared" si="19"/>
        <v>0</v>
      </c>
      <c r="F68" s="307">
        <f t="shared" ref="F68:F72" si="71">SUM(G68:H68)</f>
        <v>0</v>
      </c>
      <c r="G68" s="383"/>
      <c r="H68" s="383"/>
      <c r="I68" s="403"/>
      <c r="J68" s="403"/>
      <c r="K68" s="403"/>
      <c r="L68" s="403"/>
      <c r="M68" s="377">
        <f t="shared" ref="M68:M72" si="72">SUM(N68:P68)</f>
        <v>0</v>
      </c>
      <c r="N68" s="403"/>
      <c r="O68" s="403"/>
      <c r="P68" s="403"/>
      <c r="Q68" s="403"/>
      <c r="R68" s="403"/>
      <c r="S68" s="403"/>
      <c r="T68" s="403"/>
      <c r="U68" s="307">
        <f t="shared" ref="U68:U72" si="73">SUM(V68:AA68)+AL68+AS68+SUM(BD68:BH68)</f>
        <v>0</v>
      </c>
      <c r="V68" s="403"/>
      <c r="W68" s="403"/>
      <c r="X68" s="403"/>
      <c r="Y68" s="403"/>
      <c r="Z68" s="403"/>
      <c r="AA68" s="403">
        <f t="shared" ref="AA68:AA72" si="74">SUM(AB68:AK68)</f>
        <v>0</v>
      </c>
      <c r="AB68" s="403"/>
      <c r="AC68" s="403"/>
      <c r="AD68" s="403"/>
      <c r="AE68" s="403"/>
      <c r="AF68" s="403"/>
      <c r="AG68" s="403"/>
      <c r="AH68" s="403"/>
      <c r="AI68" s="403"/>
      <c r="AJ68" s="403"/>
      <c r="AK68" s="403"/>
      <c r="AL68" s="403">
        <f t="shared" ref="AL68:AL72" si="75">SUM(AM68:AR68)</f>
        <v>0</v>
      </c>
      <c r="AM68" s="403"/>
      <c r="AN68" s="403"/>
      <c r="AO68" s="403"/>
      <c r="AP68" s="403"/>
      <c r="AQ68" s="403"/>
      <c r="AR68" s="403"/>
      <c r="AS68" s="403">
        <f t="shared" ref="AS68:AS72" si="76">SUM(AT68:BC68)</f>
        <v>0</v>
      </c>
      <c r="AT68" s="403"/>
      <c r="AU68" s="403"/>
      <c r="AV68" s="403"/>
      <c r="AW68" s="403"/>
      <c r="AX68" s="403"/>
      <c r="AY68" s="403"/>
      <c r="AZ68" s="403"/>
      <c r="BA68" s="403"/>
      <c r="BB68" s="403"/>
      <c r="BC68" s="403"/>
      <c r="BD68" s="403"/>
      <c r="BE68" s="403"/>
      <c r="BF68" s="403"/>
      <c r="BG68" s="403"/>
      <c r="BH68" s="403"/>
      <c r="BI68" s="403">
        <f>SUM(BJ68:BN68)-BJ68</f>
        <v>0</v>
      </c>
      <c r="BJ68" s="393">
        <f>$D68-$BO68</f>
        <v>0</v>
      </c>
      <c r="BK68" s="403"/>
      <c r="BL68" s="403"/>
      <c r="BM68" s="403"/>
      <c r="BN68" s="403"/>
      <c r="BO68" s="383">
        <f>E68+U68+SUM(BK68:BN68)</f>
        <v>0</v>
      </c>
      <c r="BP68" s="307">
        <f>BJ73-BO68</f>
        <v>0</v>
      </c>
      <c r="BQ68" s="307">
        <f t="shared" si="10"/>
        <v>0</v>
      </c>
    </row>
    <row r="69" spans="1:69" s="71" customFormat="1" ht="16.5" customHeight="1">
      <c r="A69" s="400" t="s">
        <v>1808</v>
      </c>
      <c r="B69" s="389" t="s">
        <v>157</v>
      </c>
      <c r="C69" s="388" t="s">
        <v>158</v>
      </c>
      <c r="D69" s="379">
        <f>'01CH'!D68</f>
        <v>0</v>
      </c>
      <c r="E69" s="307">
        <f t="shared" si="19"/>
        <v>0</v>
      </c>
      <c r="F69" s="307">
        <f t="shared" si="71"/>
        <v>0</v>
      </c>
      <c r="G69" s="306"/>
      <c r="H69" s="306"/>
      <c r="I69" s="329"/>
      <c r="J69" s="329"/>
      <c r="K69" s="329"/>
      <c r="L69" s="329"/>
      <c r="M69" s="377">
        <f t="shared" si="72"/>
        <v>0</v>
      </c>
      <c r="N69" s="329"/>
      <c r="O69" s="329"/>
      <c r="P69" s="329"/>
      <c r="Q69" s="329"/>
      <c r="R69" s="329"/>
      <c r="S69" s="329"/>
      <c r="T69" s="329"/>
      <c r="U69" s="307">
        <f t="shared" si="73"/>
        <v>0</v>
      </c>
      <c r="V69" s="329"/>
      <c r="W69" s="329"/>
      <c r="X69" s="329"/>
      <c r="Y69" s="329"/>
      <c r="Z69" s="329"/>
      <c r="AA69" s="403">
        <f t="shared" si="74"/>
        <v>0</v>
      </c>
      <c r="AB69" s="329"/>
      <c r="AC69" s="329"/>
      <c r="AD69" s="329"/>
      <c r="AE69" s="329"/>
      <c r="AF69" s="329"/>
      <c r="AG69" s="329"/>
      <c r="AH69" s="329"/>
      <c r="AI69" s="329"/>
      <c r="AJ69" s="329"/>
      <c r="AK69" s="329"/>
      <c r="AL69" s="403">
        <f t="shared" si="75"/>
        <v>0</v>
      </c>
      <c r="AM69" s="329"/>
      <c r="AN69" s="329"/>
      <c r="AO69" s="329"/>
      <c r="AP69" s="330"/>
      <c r="AQ69" s="329"/>
      <c r="AR69" s="329"/>
      <c r="AS69" s="403">
        <f t="shared" si="76"/>
        <v>0</v>
      </c>
      <c r="AT69" s="329"/>
      <c r="AU69" s="329"/>
      <c r="AV69" s="329"/>
      <c r="AW69" s="329"/>
      <c r="AX69" s="329"/>
      <c r="AY69" s="329"/>
      <c r="AZ69" s="329"/>
      <c r="BA69" s="329"/>
      <c r="BB69" s="329"/>
      <c r="BC69" s="329"/>
      <c r="BD69" s="329"/>
      <c r="BE69" s="329"/>
      <c r="BF69" s="329"/>
      <c r="BG69" s="329"/>
      <c r="BH69" s="329"/>
      <c r="BI69" s="403">
        <f>SUM(BJ69:BN69)-BK69</f>
        <v>0</v>
      </c>
      <c r="BJ69" s="329"/>
      <c r="BK69" s="393">
        <f>$D69-$BO69</f>
        <v>0</v>
      </c>
      <c r="BL69" s="329"/>
      <c r="BM69" s="329"/>
      <c r="BN69" s="329"/>
      <c r="BO69" s="383">
        <f>E69+U69+BJ69+BL69+BM69+BN69</f>
        <v>0</v>
      </c>
      <c r="BP69" s="307">
        <f>BK73-BO69</f>
        <v>0</v>
      </c>
      <c r="BQ69" s="307">
        <f t="shared" si="10"/>
        <v>0</v>
      </c>
    </row>
    <row r="70" spans="1:69" s="71" customFormat="1" ht="16.5" customHeight="1">
      <c r="A70" s="400" t="s">
        <v>1809</v>
      </c>
      <c r="B70" s="389" t="s">
        <v>159</v>
      </c>
      <c r="C70" s="388" t="s">
        <v>160</v>
      </c>
      <c r="D70" s="379">
        <f>'01CH'!D69</f>
        <v>0</v>
      </c>
      <c r="E70" s="307">
        <f t="shared" si="19"/>
        <v>0</v>
      </c>
      <c r="F70" s="307">
        <f t="shared" si="71"/>
        <v>0</v>
      </c>
      <c r="G70" s="309"/>
      <c r="H70" s="309"/>
      <c r="I70" s="331"/>
      <c r="J70" s="331"/>
      <c r="K70" s="331"/>
      <c r="L70" s="331"/>
      <c r="M70" s="377">
        <f t="shared" si="72"/>
        <v>0</v>
      </c>
      <c r="N70" s="331"/>
      <c r="O70" s="331"/>
      <c r="P70" s="331"/>
      <c r="Q70" s="331"/>
      <c r="R70" s="331"/>
      <c r="S70" s="331"/>
      <c r="T70" s="331"/>
      <c r="U70" s="307">
        <f t="shared" si="73"/>
        <v>0</v>
      </c>
      <c r="V70" s="331"/>
      <c r="W70" s="331"/>
      <c r="X70" s="331"/>
      <c r="Y70" s="331"/>
      <c r="Z70" s="331"/>
      <c r="AA70" s="403">
        <f t="shared" si="74"/>
        <v>0</v>
      </c>
      <c r="AB70" s="331"/>
      <c r="AC70" s="331"/>
      <c r="AD70" s="331"/>
      <c r="AE70" s="331"/>
      <c r="AF70" s="331"/>
      <c r="AG70" s="331"/>
      <c r="AH70" s="331"/>
      <c r="AI70" s="331"/>
      <c r="AJ70" s="331"/>
      <c r="AK70" s="331"/>
      <c r="AL70" s="403">
        <f t="shared" si="75"/>
        <v>0</v>
      </c>
      <c r="AM70" s="331"/>
      <c r="AN70" s="331"/>
      <c r="AO70" s="331"/>
      <c r="AP70" s="330"/>
      <c r="AQ70" s="331"/>
      <c r="AR70" s="331"/>
      <c r="AS70" s="403">
        <f t="shared" si="76"/>
        <v>0</v>
      </c>
      <c r="AT70" s="331"/>
      <c r="AU70" s="331"/>
      <c r="AV70" s="331"/>
      <c r="AW70" s="331"/>
      <c r="AX70" s="331"/>
      <c r="AY70" s="331"/>
      <c r="AZ70" s="331"/>
      <c r="BA70" s="331"/>
      <c r="BB70" s="331"/>
      <c r="BC70" s="331"/>
      <c r="BD70" s="331"/>
      <c r="BE70" s="331"/>
      <c r="BF70" s="331"/>
      <c r="BG70" s="331"/>
      <c r="BH70" s="331"/>
      <c r="BI70" s="403">
        <f>SUM(BJ70:BN70)-BL70</f>
        <v>0</v>
      </c>
      <c r="BJ70" s="331"/>
      <c r="BK70" s="331"/>
      <c r="BL70" s="393">
        <f>$D70-$BO70</f>
        <v>0</v>
      </c>
      <c r="BM70" s="331"/>
      <c r="BN70" s="331"/>
      <c r="BO70" s="383">
        <f>E70+U70+BJ70+BK70+BM70+BN70</f>
        <v>0</v>
      </c>
      <c r="BP70" s="307">
        <f>BL73-BO70</f>
        <v>0</v>
      </c>
      <c r="BQ70" s="307">
        <f t="shared" si="10"/>
        <v>0</v>
      </c>
    </row>
    <row r="71" spans="1:69" ht="16.5" customHeight="1">
      <c r="A71" s="400" t="s">
        <v>1810</v>
      </c>
      <c r="B71" s="389" t="s">
        <v>161</v>
      </c>
      <c r="C71" s="388" t="s">
        <v>162</v>
      </c>
      <c r="D71" s="379">
        <f>'01CH'!D70</f>
        <v>0</v>
      </c>
      <c r="E71" s="307">
        <f t="shared" si="19"/>
        <v>0</v>
      </c>
      <c r="F71" s="307">
        <f t="shared" si="71"/>
        <v>0</v>
      </c>
      <c r="G71" s="76"/>
      <c r="H71" s="76"/>
      <c r="I71" s="332"/>
      <c r="J71" s="332"/>
      <c r="K71" s="332"/>
      <c r="L71" s="332"/>
      <c r="M71" s="377">
        <f t="shared" si="72"/>
        <v>0</v>
      </c>
      <c r="N71" s="332"/>
      <c r="O71" s="332"/>
      <c r="P71" s="332"/>
      <c r="Q71" s="332"/>
      <c r="R71" s="332"/>
      <c r="S71" s="332"/>
      <c r="T71" s="332"/>
      <c r="U71" s="307">
        <f t="shared" si="73"/>
        <v>0</v>
      </c>
      <c r="V71" s="332"/>
      <c r="W71" s="332"/>
      <c r="X71" s="332"/>
      <c r="Y71" s="332"/>
      <c r="Z71" s="332"/>
      <c r="AA71" s="403">
        <f t="shared" si="74"/>
        <v>0</v>
      </c>
      <c r="AB71" s="332"/>
      <c r="AC71" s="332"/>
      <c r="AD71" s="332"/>
      <c r="AE71" s="332"/>
      <c r="AF71" s="332"/>
      <c r="AG71" s="332"/>
      <c r="AH71" s="332"/>
      <c r="AI71" s="332"/>
      <c r="AJ71" s="332"/>
      <c r="AK71" s="332"/>
      <c r="AL71" s="403">
        <f t="shared" si="75"/>
        <v>0</v>
      </c>
      <c r="AM71" s="332"/>
      <c r="AN71" s="332"/>
      <c r="AO71" s="332"/>
      <c r="AP71" s="332"/>
      <c r="AQ71" s="332"/>
      <c r="AR71" s="332"/>
      <c r="AS71" s="403">
        <f t="shared" si="76"/>
        <v>0</v>
      </c>
      <c r="AT71" s="332"/>
      <c r="AU71" s="332"/>
      <c r="AV71" s="332"/>
      <c r="AW71" s="332"/>
      <c r="AX71" s="332"/>
      <c r="AY71" s="332"/>
      <c r="AZ71" s="332"/>
      <c r="BA71" s="332"/>
      <c r="BB71" s="332"/>
      <c r="BC71" s="332"/>
      <c r="BD71" s="332"/>
      <c r="BE71" s="332"/>
      <c r="BF71" s="333"/>
      <c r="BG71" s="332"/>
      <c r="BH71" s="332"/>
      <c r="BI71" s="403">
        <f>SUM(BJ71:BN71)-BM71</f>
        <v>0</v>
      </c>
      <c r="BJ71" s="332"/>
      <c r="BK71" s="332"/>
      <c r="BL71" s="332"/>
      <c r="BM71" s="393">
        <f>$D71-$BO71</f>
        <v>0</v>
      </c>
      <c r="BN71" s="332"/>
      <c r="BO71" s="383">
        <f>E71+U71+BJ71+BK71+BL71+BN71</f>
        <v>0</v>
      </c>
      <c r="BP71" s="307">
        <f>BM73-BO71</f>
        <v>0</v>
      </c>
      <c r="BQ71" s="307">
        <f t="shared" si="10"/>
        <v>0</v>
      </c>
    </row>
    <row r="72" spans="1:69" ht="16.5" customHeight="1">
      <c r="A72" s="400" t="s">
        <v>1811</v>
      </c>
      <c r="B72" s="389" t="s">
        <v>1806</v>
      </c>
      <c r="C72" s="388" t="s">
        <v>1819</v>
      </c>
      <c r="D72" s="379">
        <f>'01CH'!D71</f>
        <v>0</v>
      </c>
      <c r="E72" s="307">
        <f t="shared" si="19"/>
        <v>0</v>
      </c>
      <c r="F72" s="307">
        <f t="shared" si="71"/>
        <v>0</v>
      </c>
      <c r="G72" s="76"/>
      <c r="H72" s="76"/>
      <c r="I72" s="332"/>
      <c r="J72" s="332"/>
      <c r="K72" s="332"/>
      <c r="L72" s="332"/>
      <c r="M72" s="377">
        <f t="shared" si="72"/>
        <v>0</v>
      </c>
      <c r="N72" s="332"/>
      <c r="O72" s="332"/>
      <c r="P72" s="332"/>
      <c r="Q72" s="332"/>
      <c r="R72" s="332"/>
      <c r="S72" s="332"/>
      <c r="T72" s="332"/>
      <c r="U72" s="307">
        <f t="shared" si="73"/>
        <v>0</v>
      </c>
      <c r="V72" s="332"/>
      <c r="W72" s="332"/>
      <c r="X72" s="332"/>
      <c r="Y72" s="332"/>
      <c r="Z72" s="332"/>
      <c r="AA72" s="403">
        <f t="shared" si="74"/>
        <v>0</v>
      </c>
      <c r="AB72" s="332"/>
      <c r="AC72" s="332"/>
      <c r="AD72" s="332"/>
      <c r="AE72" s="332"/>
      <c r="AF72" s="332"/>
      <c r="AG72" s="332"/>
      <c r="AH72" s="332"/>
      <c r="AI72" s="332"/>
      <c r="AJ72" s="332"/>
      <c r="AK72" s="332"/>
      <c r="AL72" s="403">
        <f t="shared" si="75"/>
        <v>0</v>
      </c>
      <c r="AM72" s="332"/>
      <c r="AN72" s="332"/>
      <c r="AO72" s="332"/>
      <c r="AP72" s="332"/>
      <c r="AQ72" s="332"/>
      <c r="AR72" s="332"/>
      <c r="AS72" s="403">
        <f t="shared" si="76"/>
        <v>0</v>
      </c>
      <c r="AT72" s="332"/>
      <c r="AU72" s="332"/>
      <c r="AV72" s="332"/>
      <c r="AW72" s="332"/>
      <c r="AX72" s="332"/>
      <c r="AY72" s="332"/>
      <c r="AZ72" s="332"/>
      <c r="BA72" s="332"/>
      <c r="BB72" s="332"/>
      <c r="BC72" s="332"/>
      <c r="BD72" s="332"/>
      <c r="BE72" s="332"/>
      <c r="BF72" s="333"/>
      <c r="BG72" s="332"/>
      <c r="BH72" s="332"/>
      <c r="BI72" s="403">
        <f>SUM(BJ72:BN72)-BN72</f>
        <v>0</v>
      </c>
      <c r="BJ72" s="332"/>
      <c r="BK72" s="332"/>
      <c r="BL72" s="332"/>
      <c r="BM72" s="332"/>
      <c r="BN72" s="393">
        <f>$D72-$BO72</f>
        <v>0</v>
      </c>
      <c r="BO72" s="383">
        <f>E72+U72+BJ72+BK72+BL72+BM72</f>
        <v>0</v>
      </c>
      <c r="BP72" s="307">
        <f>BN73-BO72</f>
        <v>0</v>
      </c>
      <c r="BQ72" s="307">
        <f t="shared" si="10"/>
        <v>0</v>
      </c>
    </row>
    <row r="73" spans="1:69" ht="16.5" customHeight="1">
      <c r="A73" s="400"/>
      <c r="B73" s="404" t="s">
        <v>120</v>
      </c>
      <c r="C73" s="388"/>
      <c r="D73" s="379">
        <f>E73+U73+BI73</f>
        <v>5632.6945985746315</v>
      </c>
      <c r="E73" s="336">
        <f>SUM(E10:E16)+SUM(E20:E23)+SUM(E26:E31)+E43+SUM(E52:E66)+SUM(E68:E72)</f>
        <v>0</v>
      </c>
      <c r="F73" s="336">
        <f>SUM(F10:F16)+SUM(F20:F23)+SUM(F26:F31)+F43+SUM(F52:F66)+SUM(F68:F72)</f>
        <v>0</v>
      </c>
      <c r="G73" s="336">
        <f>SUM(G10:G16)+SUM(G20:G23)+SUM(G26:G31)+G43+SUM(G52:G66)+SUM(G68:G72)-G10</f>
        <v>0</v>
      </c>
      <c r="H73" s="336">
        <f>SUM(H10:H16)+SUM(H20:H23)+SUM(H26:H31)+H43+SUM(H52:H66)+SUM(H68:H72)-H11</f>
        <v>0</v>
      </c>
      <c r="I73" s="336">
        <f>SUM(I10:I16)+SUM(I20:I23)+SUM(I26:I31)+I43+SUM(I52:I66)+SUM(I68:I72)-I12</f>
        <v>0</v>
      </c>
      <c r="J73" s="336">
        <f>SUM(J10:J16)+SUM(J20:J23)+SUM(J26:J31)+J43+SUM(J52:J66)+SUM(J68:J72)-J13</f>
        <v>0</v>
      </c>
      <c r="K73" s="336">
        <f>SUM(K10:K16)+SUM(K20:K23)+SUM(K26:K31)+K43+SUM(K52:K66)+SUM(K68:K72)-K14</f>
        <v>0</v>
      </c>
      <c r="L73" s="336">
        <f>SUM(L10:L16)+SUM(L20:L23)+SUM(L26:L31)+L43+SUM(L52:L66)+SUM(L68:L72)-L15</f>
        <v>0</v>
      </c>
      <c r="M73" s="336">
        <f>SUM(M10:M16)+SUM(M20:M23)+SUM(M26:M31)+M43+SUM(M52:M66)+SUM(M68:M72)-M16</f>
        <v>0</v>
      </c>
      <c r="N73" s="336">
        <f>SUM(N10:N16)+SUM(N20:N23)+SUM(N26:N31)+N43+SUM(N52:N66)+SUM(N68:N72)-N17</f>
        <v>0</v>
      </c>
      <c r="O73" s="336">
        <f t="shared" ref="O73:P73" si="77">SUM(O10:O16)+SUM(O20:O23)+SUM(O26:O31)+O43+SUM(O52:O66)+SUM(O68:O72)</f>
        <v>0</v>
      </c>
      <c r="P73" s="336">
        <f t="shared" si="77"/>
        <v>0</v>
      </c>
      <c r="Q73" s="336">
        <f>SUM(Q10:Q16)+SUM(Q20:Q23)+SUM(Q26:Q31)+Q43+SUM(Q52:Q66)+SUM(Q68:Q72)-Q20</f>
        <v>0</v>
      </c>
      <c r="R73" s="336">
        <f>SUM(R10:R16)+SUM(R20:R23)+SUM(R26:R31)+R43+SUM(R52:R66)+SUM(R68:R72)-R21</f>
        <v>0</v>
      </c>
      <c r="S73" s="336">
        <f>SUM(S10:S16)+SUM(S20:S23)+SUM(S26:S31)+S43+SUM(S52:S66)+SUM(S68:S72)-S22</f>
        <v>0</v>
      </c>
      <c r="T73" s="336">
        <f>SUM(T10:T16)+SUM(T20:T23)+SUM(T26:T31)+T43+SUM(T52:T66)+SUM(T68:T72)-T23</f>
        <v>0</v>
      </c>
      <c r="U73" s="336">
        <f>SUM(V73:AA73)+AL73+AS73+SUM(BD73:BI73)</f>
        <v>5632.6945985746315</v>
      </c>
      <c r="V73" s="336">
        <f>SUM(V10:V16)+SUM(V20:V23)+SUM(V26:V31)+V43+SUM(V52:V66)+SUM(V68:V72)-V26</f>
        <v>3357.5698401501299</v>
      </c>
      <c r="W73" s="336">
        <f>SUM(W10:W16)+SUM(W20:W23)+SUM(W26:W31)+W43+SUM(W52:W66)+SUM(W68:W72)-W27</f>
        <v>173.1823428644895</v>
      </c>
      <c r="X73" s="336">
        <f>SUM(X10:X16)+SUM(X20:X23)+SUM(X26:X31)+X43+SUM(X52:X66)+SUM(X68:X72)-X28</f>
        <v>1.8599999999999977</v>
      </c>
      <c r="Y73" s="336">
        <f>SUM(Y10:Y16)+SUM(Y20:Y23)+SUM(Y26:Y31)+Y43+SUM(Y52:Y66)+SUM(Y68:Y72)-Y29</f>
        <v>7.0598489999999998</v>
      </c>
      <c r="Z73" s="336">
        <f>SUM(Z10:Z16)+SUM(Z20:Z23)+SUM(Z26:Z31)+Z43+SUM(Z52:Z66)+SUM(Z68:Z72)-Z30</f>
        <v>3.4970000000000012</v>
      </c>
      <c r="AA73" s="336">
        <f>SUM(AB73:AK73)</f>
        <v>15.671900000000001</v>
      </c>
      <c r="AB73" s="336">
        <f>AB7+AB24+AB67</f>
        <v>6.1440000000000001</v>
      </c>
      <c r="AC73" s="336">
        <f t="shared" ref="AC73:BN73" si="78">AC7+AC24+AC67</f>
        <v>0.2979</v>
      </c>
      <c r="AD73" s="336">
        <f t="shared" si="78"/>
        <v>1.6800000000000004</v>
      </c>
      <c r="AE73" s="336">
        <f t="shared" si="78"/>
        <v>4.92</v>
      </c>
      <c r="AF73" s="336">
        <f t="shared" si="78"/>
        <v>2.63</v>
      </c>
      <c r="AG73" s="336">
        <f t="shared" si="78"/>
        <v>0</v>
      </c>
      <c r="AH73" s="336">
        <f t="shared" si="78"/>
        <v>0</v>
      </c>
      <c r="AI73" s="336">
        <f t="shared" si="78"/>
        <v>0</v>
      </c>
      <c r="AJ73" s="336">
        <f t="shared" si="78"/>
        <v>0</v>
      </c>
      <c r="AK73" s="336">
        <f t="shared" si="78"/>
        <v>0</v>
      </c>
      <c r="AL73" s="336">
        <f>SUM(AM73:AR73)</f>
        <v>1617.1502665600117</v>
      </c>
      <c r="AM73" s="336">
        <f t="shared" si="78"/>
        <v>944.34156454121307</v>
      </c>
      <c r="AN73" s="336">
        <f t="shared" si="78"/>
        <v>411.96</v>
      </c>
      <c r="AO73" s="336">
        <f t="shared" si="78"/>
        <v>0</v>
      </c>
      <c r="AP73" s="336">
        <f t="shared" si="78"/>
        <v>247.82870201879854</v>
      </c>
      <c r="AQ73" s="336">
        <f t="shared" si="78"/>
        <v>13.02</v>
      </c>
      <c r="AR73" s="336">
        <f t="shared" si="78"/>
        <v>0</v>
      </c>
      <c r="AS73" s="336">
        <f>SUM(AT73:BC73)</f>
        <v>427.08910000000009</v>
      </c>
      <c r="AT73" s="336">
        <f t="shared" si="78"/>
        <v>317.30000000000007</v>
      </c>
      <c r="AU73" s="336">
        <f t="shared" si="78"/>
        <v>0.26</v>
      </c>
      <c r="AV73" s="336">
        <f t="shared" si="78"/>
        <v>0</v>
      </c>
      <c r="AW73" s="336">
        <f t="shared" si="78"/>
        <v>0</v>
      </c>
      <c r="AX73" s="336">
        <f t="shared" si="78"/>
        <v>0.96699999999999997</v>
      </c>
      <c r="AY73" s="336">
        <f t="shared" si="78"/>
        <v>0</v>
      </c>
      <c r="AZ73" s="336">
        <f t="shared" si="78"/>
        <v>107.22</v>
      </c>
      <c r="BA73" s="336">
        <f t="shared" si="78"/>
        <v>0</v>
      </c>
      <c r="BB73" s="336">
        <f t="shared" si="78"/>
        <v>0</v>
      </c>
      <c r="BC73" s="336">
        <f t="shared" si="78"/>
        <v>1.3420999999999998</v>
      </c>
      <c r="BD73" s="336">
        <f t="shared" si="78"/>
        <v>0.96999999999999797</v>
      </c>
      <c r="BE73" s="336">
        <f t="shared" si="78"/>
        <v>0.38</v>
      </c>
      <c r="BF73" s="336">
        <f t="shared" si="78"/>
        <v>28.264300000000006</v>
      </c>
      <c r="BG73" s="336">
        <f t="shared" si="78"/>
        <v>0</v>
      </c>
      <c r="BH73" s="336">
        <f t="shared" si="78"/>
        <v>0</v>
      </c>
      <c r="BI73" s="336">
        <f>SUM(BJ73:BN73)</f>
        <v>0</v>
      </c>
      <c r="BJ73" s="336">
        <f t="shared" si="78"/>
        <v>0</v>
      </c>
      <c r="BK73" s="336">
        <f t="shared" si="78"/>
        <v>0</v>
      </c>
      <c r="BL73" s="336">
        <f t="shared" si="78"/>
        <v>0</v>
      </c>
      <c r="BM73" s="336">
        <f t="shared" si="78"/>
        <v>0</v>
      </c>
      <c r="BN73" s="336">
        <f t="shared" si="78"/>
        <v>0</v>
      </c>
      <c r="BO73" s="307"/>
      <c r="BP73" s="308"/>
      <c r="BQ73" s="76"/>
    </row>
    <row r="74" spans="1:69" ht="16.5" customHeight="1">
      <c r="A74" s="400"/>
      <c r="B74" s="404" t="s">
        <v>1849</v>
      </c>
      <c r="C74" s="388"/>
      <c r="D74" s="379"/>
      <c r="E74" s="306">
        <f>$BQ7</f>
        <v>8209.9175519509881</v>
      </c>
      <c r="F74" s="306">
        <f>$BQ9</f>
        <v>4247.0216354529739</v>
      </c>
      <c r="G74" s="306">
        <f>BQ10</f>
        <v>4143.3221354529742</v>
      </c>
      <c r="H74" s="306">
        <f>BQ11</f>
        <v>103.69949999999994</v>
      </c>
      <c r="I74" s="306">
        <f>$BQ12</f>
        <v>1340.4663581530322</v>
      </c>
      <c r="J74" s="306">
        <f>$BQ13</f>
        <v>643.93813063075027</v>
      </c>
      <c r="K74" s="306">
        <f>$BQ15</f>
        <v>0</v>
      </c>
      <c r="L74" s="306">
        <f>$BQ16</f>
        <v>0</v>
      </c>
      <c r="M74" s="306">
        <f>$BQ17</f>
        <v>0</v>
      </c>
      <c r="N74" s="306">
        <f>$BQ18</f>
        <v>0</v>
      </c>
      <c r="O74" s="306">
        <f t="shared" ref="O74:P74" si="79">$BQ7</f>
        <v>8209.9175519509881</v>
      </c>
      <c r="P74" s="306">
        <f t="shared" si="79"/>
        <v>8209.9175519509881</v>
      </c>
      <c r="Q74" s="306">
        <f>$BQ20</f>
        <v>1950.6084277142327</v>
      </c>
      <c r="R74" s="306">
        <f>$BQ21</f>
        <v>0</v>
      </c>
      <c r="S74" s="306">
        <f>$BQ22</f>
        <v>0</v>
      </c>
      <c r="T74" s="306">
        <f>$BQ23</f>
        <v>27.883000000000003</v>
      </c>
      <c r="U74" s="306">
        <f>$BQ24</f>
        <v>13300.247448049011</v>
      </c>
      <c r="V74" s="306">
        <f>$BQ26</f>
        <v>6338.3503424259598</v>
      </c>
      <c r="W74" s="306">
        <f>$BQ27</f>
        <v>629.8695428644894</v>
      </c>
      <c r="X74" s="306">
        <f>$BQ28</f>
        <v>15.072099999999997</v>
      </c>
      <c r="Y74" s="306">
        <f>$BQ29</f>
        <v>7.0598489999999998</v>
      </c>
      <c r="Z74" s="306">
        <f>$BQ30</f>
        <v>5.2510000000000012</v>
      </c>
      <c r="AA74" s="306">
        <f>$BQ31</f>
        <v>106.74730000000001</v>
      </c>
      <c r="AB74" s="306">
        <f>$BQ33</f>
        <v>9.44</v>
      </c>
      <c r="AC74" s="306">
        <f>$BQ34</f>
        <v>0.47789999999999999</v>
      </c>
      <c r="AD74" s="306">
        <f>$BQ35</f>
        <v>8.8930000000000025</v>
      </c>
      <c r="AE74" s="306">
        <f>$BQ36</f>
        <v>77.584400000000002</v>
      </c>
      <c r="AF74" s="306">
        <f>$BQ37</f>
        <v>10.352</v>
      </c>
      <c r="AG74" s="306">
        <f>$BQ38</f>
        <v>0</v>
      </c>
      <c r="AH74" s="306">
        <f>$BQ39</f>
        <v>0</v>
      </c>
      <c r="AI74" s="306">
        <f>$BQ40</f>
        <v>0</v>
      </c>
      <c r="AJ74" s="306">
        <f>$BQ41</f>
        <v>0</v>
      </c>
      <c r="AK74" s="306">
        <f>$BQ42</f>
        <v>0</v>
      </c>
      <c r="AL74" s="306">
        <f>$BQ43</f>
        <v>2662.1342665600114</v>
      </c>
      <c r="AM74" s="306">
        <f>$BQ44</f>
        <v>1779.507564541213</v>
      </c>
      <c r="AN74" s="306">
        <f>$BQ45</f>
        <v>466.21399999999994</v>
      </c>
      <c r="AO74" s="306">
        <f>$BQ46</f>
        <v>0</v>
      </c>
      <c r="AP74" s="306">
        <f>$BQ47</f>
        <v>276.75270201879857</v>
      </c>
      <c r="AQ74" s="306">
        <f>$BQ48</f>
        <v>139.66</v>
      </c>
      <c r="AR74" s="306">
        <f>$BQ49</f>
        <v>0</v>
      </c>
      <c r="AS74" s="306">
        <f>$BQ50</f>
        <v>1136.6032520000001</v>
      </c>
      <c r="AT74" s="306">
        <f>$BQ52</f>
        <v>984.23715200000004</v>
      </c>
      <c r="AU74" s="306">
        <f>$BQ53</f>
        <v>0.96</v>
      </c>
      <c r="AV74" s="306">
        <f>$BQ54</f>
        <v>0</v>
      </c>
      <c r="AW74" s="306">
        <f>$BQ55</f>
        <v>0</v>
      </c>
      <c r="AX74" s="306">
        <f>$BQ56</f>
        <v>1.6400000000000001</v>
      </c>
      <c r="AY74" s="306">
        <f>$BQ57</f>
        <v>0.13</v>
      </c>
      <c r="AZ74" s="306">
        <f>$BQ58</f>
        <v>108.866</v>
      </c>
      <c r="BA74" s="306">
        <f>$BQ59</f>
        <v>0.63200000000000012</v>
      </c>
      <c r="BB74" s="306">
        <f>$BQ60</f>
        <v>3.1080000000000001</v>
      </c>
      <c r="BC74" s="306">
        <f>$BQ61</f>
        <v>37.030099999999997</v>
      </c>
      <c r="BD74" s="306">
        <f>$BQ62</f>
        <v>35.667999999999999</v>
      </c>
      <c r="BE74" s="306">
        <f>$BQ63</f>
        <v>13.228512000000002</v>
      </c>
      <c r="BF74" s="306">
        <f>$BQ64</f>
        <v>133.15657319854847</v>
      </c>
      <c r="BG74" s="306">
        <f>$BQ65</f>
        <v>2217.1067099999996</v>
      </c>
      <c r="BH74" s="306">
        <f>$BQ66</f>
        <v>0</v>
      </c>
      <c r="BI74" s="306">
        <f>$BQ67</f>
        <v>0</v>
      </c>
      <c r="BJ74" s="306">
        <f>$BQ68</f>
        <v>0</v>
      </c>
      <c r="BK74" s="306">
        <f>$BQ69</f>
        <v>0</v>
      </c>
      <c r="BL74" s="306">
        <f>$BQ70</f>
        <v>0</v>
      </c>
      <c r="BM74" s="306">
        <f>$BQ71</f>
        <v>0</v>
      </c>
      <c r="BN74" s="306">
        <f>$BQ72</f>
        <v>0</v>
      </c>
      <c r="BO74" s="307"/>
      <c r="BP74" s="308"/>
      <c r="BQ74" s="76"/>
    </row>
    <row r="75" spans="1:69">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334"/>
      <c r="AK75" s="334"/>
      <c r="AL75" s="334"/>
      <c r="AM75" s="334"/>
      <c r="AN75" s="334"/>
      <c r="AO75" s="334"/>
      <c r="AP75" s="334"/>
      <c r="AQ75" s="334"/>
      <c r="AR75" s="334"/>
      <c r="AS75" s="334"/>
      <c r="AT75" s="334"/>
      <c r="AU75" s="334"/>
      <c r="AV75" s="334"/>
      <c r="AW75" s="334"/>
      <c r="AX75" s="334"/>
      <c r="AY75" s="334"/>
      <c r="AZ75" s="334"/>
      <c r="BA75" s="334"/>
      <c r="BB75" s="334"/>
      <c r="BC75" s="334"/>
      <c r="BD75" s="334"/>
      <c r="BE75" s="334"/>
      <c r="BF75" s="335"/>
      <c r="BG75" s="334"/>
      <c r="BH75" s="334"/>
      <c r="BI75" s="334"/>
      <c r="BJ75" s="334"/>
      <c r="BK75" s="334"/>
      <c r="BL75" s="334"/>
      <c r="BM75" s="334"/>
      <c r="BN75" s="334"/>
    </row>
    <row r="80" spans="1:69">
      <c r="E80" s="72"/>
    </row>
  </sheetData>
  <mergeCells count="8">
    <mergeCell ref="A1:BG1"/>
    <mergeCell ref="A2:BG2"/>
    <mergeCell ref="A3:BG3"/>
    <mergeCell ref="A4:A5"/>
    <mergeCell ref="B4:B5"/>
    <mergeCell ref="C4:C5"/>
    <mergeCell ref="D4:D5"/>
    <mergeCell ref="E4:BQ4"/>
  </mergeCells>
  <printOptions horizontalCentered="1"/>
  <pageMargins left="0.47244094488188981" right="0.31496062992125984" top="0.39370078740157483" bottom="0.19685039370078741" header="7.874015748031496E-2" footer="7.874015748031496E-2"/>
  <pageSetup paperSize="8" scale="63" fitToHeight="2" orientation="landscape" r:id="rId1"/>
  <colBreaks count="1" manualBreakCount="1">
    <brk id="34" max="7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theme="9" tint="0.39997558519241921"/>
  </sheetPr>
  <dimension ref="A1:Y70"/>
  <sheetViews>
    <sheetView view="pageBreakPreview" topLeftCell="A4" zoomScale="85" zoomScaleNormal="100" zoomScaleSheetLayoutView="85" workbookViewId="0">
      <pane xSplit="3" ySplit="2" topLeftCell="D6" activePane="bottomRight" state="frozen"/>
      <selection activeCell="A4" sqref="A4"/>
      <selection pane="topRight" activeCell="D4" sqref="D4"/>
      <selection pane="bottomLeft" activeCell="A6" sqref="A6"/>
      <selection pane="bottomRight" activeCell="G22" sqref="G22"/>
    </sheetView>
  </sheetViews>
  <sheetFormatPr defaultRowHeight="15.75" customHeight="1"/>
  <cols>
    <col min="1" max="1" width="6.25" style="1" customWidth="1"/>
    <col min="2" max="2" width="45.4140625" style="1" customWidth="1"/>
    <col min="3" max="3" width="9.33203125" style="9" customWidth="1"/>
    <col min="4" max="4" width="8.5" style="10" customWidth="1"/>
    <col min="5" max="5" width="8.25" style="10" customWidth="1"/>
    <col min="6" max="7" width="8.5" style="10" customWidth="1"/>
    <col min="8" max="8" width="10.08203125" style="10" customWidth="1"/>
    <col min="9" max="9" width="8.58203125" style="10" customWidth="1"/>
    <col min="10" max="10" width="9.5" style="10" customWidth="1"/>
    <col min="11" max="11" width="8.58203125" style="10" customWidth="1"/>
    <col min="12" max="12" width="8.5" style="10" customWidth="1"/>
    <col min="13" max="13" width="8.75" style="10" customWidth="1"/>
    <col min="14" max="14" width="8.5" style="10" customWidth="1"/>
    <col min="15" max="15" width="8.58203125" style="10" customWidth="1"/>
    <col min="16" max="17" width="8.5" style="10" customWidth="1"/>
    <col min="18" max="18" width="9.5" style="10" customWidth="1"/>
    <col min="19" max="19" width="8.25" style="10" customWidth="1"/>
    <col min="20" max="20" width="9.25" style="10" customWidth="1"/>
    <col min="21" max="21" width="8.08203125" style="10" customWidth="1"/>
    <col min="22" max="22" width="8.5" style="10" customWidth="1"/>
    <col min="23" max="23" width="8.08203125" style="10" customWidth="1"/>
    <col min="24" max="24" width="9.58203125" style="10" customWidth="1"/>
    <col min="25" max="25" width="8.25" style="10" customWidth="1"/>
    <col min="26" max="250" width="9" style="9"/>
    <col min="251" max="251" width="5.33203125" style="9" customWidth="1"/>
    <col min="252" max="252" width="43.58203125" style="9" customWidth="1"/>
    <col min="253" max="253" width="5.75" style="9" customWidth="1"/>
    <col min="254" max="255" width="7.83203125" style="9" customWidth="1"/>
    <col min="256" max="257" width="8" style="9" customWidth="1"/>
    <col min="258" max="259" width="9.08203125" style="9" customWidth="1"/>
    <col min="260" max="261" width="8.75" style="9" customWidth="1"/>
    <col min="262" max="263" width="8.5" style="9" customWidth="1"/>
    <col min="264" max="265" width="8.25" style="9" customWidth="1"/>
    <col min="266" max="267" width="7.58203125" style="9" customWidth="1"/>
    <col min="268" max="269" width="8.58203125" style="9" customWidth="1"/>
    <col min="270" max="271" width="7.83203125" style="9" customWidth="1"/>
    <col min="272" max="273" width="7.75" style="9" customWidth="1"/>
    <col min="274" max="275" width="8.08203125" style="9" customWidth="1"/>
    <col min="276" max="276" width="8.83203125" style="9" customWidth="1"/>
    <col min="277" max="277" width="8.08203125" style="9" customWidth="1"/>
    <col min="278" max="279" width="8.58203125" style="9" customWidth="1"/>
    <col min="280" max="280" width="11.83203125" style="9" bestFit="1" customWidth="1"/>
    <col min="281" max="506" width="9" style="9"/>
    <col min="507" max="507" width="5.33203125" style="9" customWidth="1"/>
    <col min="508" max="508" width="43.58203125" style="9" customWidth="1"/>
    <col min="509" max="509" width="5.75" style="9" customWidth="1"/>
    <col min="510" max="511" width="7.83203125" style="9" customWidth="1"/>
    <col min="512" max="513" width="8" style="9" customWidth="1"/>
    <col min="514" max="515" width="9.08203125" style="9" customWidth="1"/>
    <col min="516" max="517" width="8.75" style="9" customWidth="1"/>
    <col min="518" max="519" width="8.5" style="9" customWidth="1"/>
    <col min="520" max="521" width="8.25" style="9" customWidth="1"/>
    <col min="522" max="523" width="7.58203125" style="9" customWidth="1"/>
    <col min="524" max="525" width="8.58203125" style="9" customWidth="1"/>
    <col min="526" max="527" width="7.83203125" style="9" customWidth="1"/>
    <col min="528" max="529" width="7.75" style="9" customWidth="1"/>
    <col min="530" max="531" width="8.08203125" style="9" customWidth="1"/>
    <col min="532" max="532" width="8.83203125" style="9" customWidth="1"/>
    <col min="533" max="533" width="8.08203125" style="9" customWidth="1"/>
    <col min="534" max="535" width="8.58203125" style="9" customWidth="1"/>
    <col min="536" max="536" width="11.83203125" style="9" bestFit="1" customWidth="1"/>
    <col min="537" max="762" width="9" style="9"/>
    <col min="763" max="763" width="5.33203125" style="9" customWidth="1"/>
    <col min="764" max="764" width="43.58203125" style="9" customWidth="1"/>
    <col min="765" max="765" width="5.75" style="9" customWidth="1"/>
    <col min="766" max="767" width="7.83203125" style="9" customWidth="1"/>
    <col min="768" max="769" width="8" style="9" customWidth="1"/>
    <col min="770" max="771" width="9.08203125" style="9" customWidth="1"/>
    <col min="772" max="773" width="8.75" style="9" customWidth="1"/>
    <col min="774" max="775" width="8.5" style="9" customWidth="1"/>
    <col min="776" max="777" width="8.25" style="9" customWidth="1"/>
    <col min="778" max="779" width="7.58203125" style="9" customWidth="1"/>
    <col min="780" max="781" width="8.58203125" style="9" customWidth="1"/>
    <col min="782" max="783" width="7.83203125" style="9" customWidth="1"/>
    <col min="784" max="785" width="7.75" style="9" customWidth="1"/>
    <col min="786" max="787" width="8.08203125" style="9" customWidth="1"/>
    <col min="788" max="788" width="8.83203125" style="9" customWidth="1"/>
    <col min="789" max="789" width="8.08203125" style="9" customWidth="1"/>
    <col min="790" max="791" width="8.58203125" style="9" customWidth="1"/>
    <col min="792" max="792" width="11.83203125" style="9" bestFit="1" customWidth="1"/>
    <col min="793" max="1018" width="9" style="9"/>
    <col min="1019" max="1019" width="5.33203125" style="9" customWidth="1"/>
    <col min="1020" max="1020" width="43.58203125" style="9" customWidth="1"/>
    <col min="1021" max="1021" width="5.75" style="9" customWidth="1"/>
    <col min="1022" max="1023" width="7.83203125" style="9" customWidth="1"/>
    <col min="1024" max="1025" width="8" style="9" customWidth="1"/>
    <col min="1026" max="1027" width="9.08203125" style="9" customWidth="1"/>
    <col min="1028" max="1029" width="8.75" style="9" customWidth="1"/>
    <col min="1030" max="1031" width="8.5" style="9" customWidth="1"/>
    <col min="1032" max="1033" width="8.25" style="9" customWidth="1"/>
    <col min="1034" max="1035" width="7.58203125" style="9" customWidth="1"/>
    <col min="1036" max="1037" width="8.58203125" style="9" customWidth="1"/>
    <col min="1038" max="1039" width="7.83203125" style="9" customWidth="1"/>
    <col min="1040" max="1041" width="7.75" style="9" customWidth="1"/>
    <col min="1042" max="1043" width="8.08203125" style="9" customWidth="1"/>
    <col min="1044" max="1044" width="8.83203125" style="9" customWidth="1"/>
    <col min="1045" max="1045" width="8.08203125" style="9" customWidth="1"/>
    <col min="1046" max="1047" width="8.58203125" style="9" customWidth="1"/>
    <col min="1048" max="1048" width="11.83203125" style="9" bestFit="1" customWidth="1"/>
    <col min="1049" max="1274" width="9" style="9"/>
    <col min="1275" max="1275" width="5.33203125" style="9" customWidth="1"/>
    <col min="1276" max="1276" width="43.58203125" style="9" customWidth="1"/>
    <col min="1277" max="1277" width="5.75" style="9" customWidth="1"/>
    <col min="1278" max="1279" width="7.83203125" style="9" customWidth="1"/>
    <col min="1280" max="1281" width="8" style="9" customWidth="1"/>
    <col min="1282" max="1283" width="9.08203125" style="9" customWidth="1"/>
    <col min="1284" max="1285" width="8.75" style="9" customWidth="1"/>
    <col min="1286" max="1287" width="8.5" style="9" customWidth="1"/>
    <col min="1288" max="1289" width="8.25" style="9" customWidth="1"/>
    <col min="1290" max="1291" width="7.58203125" style="9" customWidth="1"/>
    <col min="1292" max="1293" width="8.58203125" style="9" customWidth="1"/>
    <col min="1294" max="1295" width="7.83203125" style="9" customWidth="1"/>
    <col min="1296" max="1297" width="7.75" style="9" customWidth="1"/>
    <col min="1298" max="1299" width="8.08203125" style="9" customWidth="1"/>
    <col min="1300" max="1300" width="8.83203125" style="9" customWidth="1"/>
    <col min="1301" max="1301" width="8.08203125" style="9" customWidth="1"/>
    <col min="1302" max="1303" width="8.58203125" style="9" customWidth="1"/>
    <col min="1304" max="1304" width="11.83203125" style="9" bestFit="1" customWidth="1"/>
    <col min="1305" max="1530" width="9" style="9"/>
    <col min="1531" max="1531" width="5.33203125" style="9" customWidth="1"/>
    <col min="1532" max="1532" width="43.58203125" style="9" customWidth="1"/>
    <col min="1533" max="1533" width="5.75" style="9" customWidth="1"/>
    <col min="1534" max="1535" width="7.83203125" style="9" customWidth="1"/>
    <col min="1536" max="1537" width="8" style="9" customWidth="1"/>
    <col min="1538" max="1539" width="9.08203125" style="9" customWidth="1"/>
    <col min="1540" max="1541" width="8.75" style="9" customWidth="1"/>
    <col min="1542" max="1543" width="8.5" style="9" customWidth="1"/>
    <col min="1544" max="1545" width="8.25" style="9" customWidth="1"/>
    <col min="1546" max="1547" width="7.58203125" style="9" customWidth="1"/>
    <col min="1548" max="1549" width="8.58203125" style="9" customWidth="1"/>
    <col min="1550" max="1551" width="7.83203125" style="9" customWidth="1"/>
    <col min="1552" max="1553" width="7.75" style="9" customWidth="1"/>
    <col min="1554" max="1555" width="8.08203125" style="9" customWidth="1"/>
    <col min="1556" max="1556" width="8.83203125" style="9" customWidth="1"/>
    <col min="1557" max="1557" width="8.08203125" style="9" customWidth="1"/>
    <col min="1558" max="1559" width="8.58203125" style="9" customWidth="1"/>
    <col min="1560" max="1560" width="11.83203125" style="9" bestFit="1" customWidth="1"/>
    <col min="1561" max="1786" width="9" style="9"/>
    <col min="1787" max="1787" width="5.33203125" style="9" customWidth="1"/>
    <col min="1788" max="1788" width="43.58203125" style="9" customWidth="1"/>
    <col min="1789" max="1789" width="5.75" style="9" customWidth="1"/>
    <col min="1790" max="1791" width="7.83203125" style="9" customWidth="1"/>
    <col min="1792" max="1793" width="8" style="9" customWidth="1"/>
    <col min="1794" max="1795" width="9.08203125" style="9" customWidth="1"/>
    <col min="1796" max="1797" width="8.75" style="9" customWidth="1"/>
    <col min="1798" max="1799" width="8.5" style="9" customWidth="1"/>
    <col min="1800" max="1801" width="8.25" style="9" customWidth="1"/>
    <col min="1802" max="1803" width="7.58203125" style="9" customWidth="1"/>
    <col min="1804" max="1805" width="8.58203125" style="9" customWidth="1"/>
    <col min="1806" max="1807" width="7.83203125" style="9" customWidth="1"/>
    <col min="1808" max="1809" width="7.75" style="9" customWidth="1"/>
    <col min="1810" max="1811" width="8.08203125" style="9" customWidth="1"/>
    <col min="1812" max="1812" width="8.83203125" style="9" customWidth="1"/>
    <col min="1813" max="1813" width="8.08203125" style="9" customWidth="1"/>
    <col min="1814" max="1815" width="8.58203125" style="9" customWidth="1"/>
    <col min="1816" max="1816" width="11.83203125" style="9" bestFit="1" customWidth="1"/>
    <col min="1817" max="2042" width="9" style="9"/>
    <col min="2043" max="2043" width="5.33203125" style="9" customWidth="1"/>
    <col min="2044" max="2044" width="43.58203125" style="9" customWidth="1"/>
    <col min="2045" max="2045" width="5.75" style="9" customWidth="1"/>
    <col min="2046" max="2047" width="7.83203125" style="9" customWidth="1"/>
    <col min="2048" max="2049" width="8" style="9" customWidth="1"/>
    <col min="2050" max="2051" width="9.08203125" style="9" customWidth="1"/>
    <col min="2052" max="2053" width="8.75" style="9" customWidth="1"/>
    <col min="2054" max="2055" width="8.5" style="9" customWidth="1"/>
    <col min="2056" max="2057" width="8.25" style="9" customWidth="1"/>
    <col min="2058" max="2059" width="7.58203125" style="9" customWidth="1"/>
    <col min="2060" max="2061" width="8.58203125" style="9" customWidth="1"/>
    <col min="2062" max="2063" width="7.83203125" style="9" customWidth="1"/>
    <col min="2064" max="2065" width="7.75" style="9" customWidth="1"/>
    <col min="2066" max="2067" width="8.08203125" style="9" customWidth="1"/>
    <col min="2068" max="2068" width="8.83203125" style="9" customWidth="1"/>
    <col min="2069" max="2069" width="8.08203125" style="9" customWidth="1"/>
    <col min="2070" max="2071" width="8.58203125" style="9" customWidth="1"/>
    <col min="2072" max="2072" width="11.83203125" style="9" bestFit="1" customWidth="1"/>
    <col min="2073" max="2298" width="9" style="9"/>
    <col min="2299" max="2299" width="5.33203125" style="9" customWidth="1"/>
    <col min="2300" max="2300" width="43.58203125" style="9" customWidth="1"/>
    <col min="2301" max="2301" width="5.75" style="9" customWidth="1"/>
    <col min="2302" max="2303" width="7.83203125" style="9" customWidth="1"/>
    <col min="2304" max="2305" width="8" style="9" customWidth="1"/>
    <col min="2306" max="2307" width="9.08203125" style="9" customWidth="1"/>
    <col min="2308" max="2309" width="8.75" style="9" customWidth="1"/>
    <col min="2310" max="2311" width="8.5" style="9" customWidth="1"/>
    <col min="2312" max="2313" width="8.25" style="9" customWidth="1"/>
    <col min="2314" max="2315" width="7.58203125" style="9" customWidth="1"/>
    <col min="2316" max="2317" width="8.58203125" style="9" customWidth="1"/>
    <col min="2318" max="2319" width="7.83203125" style="9" customWidth="1"/>
    <col min="2320" max="2321" width="7.75" style="9" customWidth="1"/>
    <col min="2322" max="2323" width="8.08203125" style="9" customWidth="1"/>
    <col min="2324" max="2324" width="8.83203125" style="9" customWidth="1"/>
    <col min="2325" max="2325" width="8.08203125" style="9" customWidth="1"/>
    <col min="2326" max="2327" width="8.58203125" style="9" customWidth="1"/>
    <col min="2328" max="2328" width="11.83203125" style="9" bestFit="1" customWidth="1"/>
    <col min="2329" max="2554" width="9" style="9"/>
    <col min="2555" max="2555" width="5.33203125" style="9" customWidth="1"/>
    <col min="2556" max="2556" width="43.58203125" style="9" customWidth="1"/>
    <col min="2557" max="2557" width="5.75" style="9" customWidth="1"/>
    <col min="2558" max="2559" width="7.83203125" style="9" customWidth="1"/>
    <col min="2560" max="2561" width="8" style="9" customWidth="1"/>
    <col min="2562" max="2563" width="9.08203125" style="9" customWidth="1"/>
    <col min="2564" max="2565" width="8.75" style="9" customWidth="1"/>
    <col min="2566" max="2567" width="8.5" style="9" customWidth="1"/>
    <col min="2568" max="2569" width="8.25" style="9" customWidth="1"/>
    <col min="2570" max="2571" width="7.58203125" style="9" customWidth="1"/>
    <col min="2572" max="2573" width="8.58203125" style="9" customWidth="1"/>
    <col min="2574" max="2575" width="7.83203125" style="9" customWidth="1"/>
    <col min="2576" max="2577" width="7.75" style="9" customWidth="1"/>
    <col min="2578" max="2579" width="8.08203125" style="9" customWidth="1"/>
    <col min="2580" max="2580" width="8.83203125" style="9" customWidth="1"/>
    <col min="2581" max="2581" width="8.08203125" style="9" customWidth="1"/>
    <col min="2582" max="2583" width="8.58203125" style="9" customWidth="1"/>
    <col min="2584" max="2584" width="11.83203125" style="9" bestFit="1" customWidth="1"/>
    <col min="2585" max="2810" width="9" style="9"/>
    <col min="2811" max="2811" width="5.33203125" style="9" customWidth="1"/>
    <col min="2812" max="2812" width="43.58203125" style="9" customWidth="1"/>
    <col min="2813" max="2813" width="5.75" style="9" customWidth="1"/>
    <col min="2814" max="2815" width="7.83203125" style="9" customWidth="1"/>
    <col min="2816" max="2817" width="8" style="9" customWidth="1"/>
    <col min="2818" max="2819" width="9.08203125" style="9" customWidth="1"/>
    <col min="2820" max="2821" width="8.75" style="9" customWidth="1"/>
    <col min="2822" max="2823" width="8.5" style="9" customWidth="1"/>
    <col min="2824" max="2825" width="8.25" style="9" customWidth="1"/>
    <col min="2826" max="2827" width="7.58203125" style="9" customWidth="1"/>
    <col min="2828" max="2829" width="8.58203125" style="9" customWidth="1"/>
    <col min="2830" max="2831" width="7.83203125" style="9" customWidth="1"/>
    <col min="2832" max="2833" width="7.75" style="9" customWidth="1"/>
    <col min="2834" max="2835" width="8.08203125" style="9" customWidth="1"/>
    <col min="2836" max="2836" width="8.83203125" style="9" customWidth="1"/>
    <col min="2837" max="2837" width="8.08203125" style="9" customWidth="1"/>
    <col min="2838" max="2839" width="8.58203125" style="9" customWidth="1"/>
    <col min="2840" max="2840" width="11.83203125" style="9" bestFit="1" customWidth="1"/>
    <col min="2841" max="3066" width="9" style="9"/>
    <col min="3067" max="3067" width="5.33203125" style="9" customWidth="1"/>
    <col min="3068" max="3068" width="43.58203125" style="9" customWidth="1"/>
    <col min="3069" max="3069" width="5.75" style="9" customWidth="1"/>
    <col min="3070" max="3071" width="7.83203125" style="9" customWidth="1"/>
    <col min="3072" max="3073" width="8" style="9" customWidth="1"/>
    <col min="3074" max="3075" width="9.08203125" style="9" customWidth="1"/>
    <col min="3076" max="3077" width="8.75" style="9" customWidth="1"/>
    <col min="3078" max="3079" width="8.5" style="9" customWidth="1"/>
    <col min="3080" max="3081" width="8.25" style="9" customWidth="1"/>
    <col min="3082" max="3083" width="7.58203125" style="9" customWidth="1"/>
    <col min="3084" max="3085" width="8.58203125" style="9" customWidth="1"/>
    <col min="3086" max="3087" width="7.83203125" style="9" customWidth="1"/>
    <col min="3088" max="3089" width="7.75" style="9" customWidth="1"/>
    <col min="3090" max="3091" width="8.08203125" style="9" customWidth="1"/>
    <col min="3092" max="3092" width="8.83203125" style="9" customWidth="1"/>
    <col min="3093" max="3093" width="8.08203125" style="9" customWidth="1"/>
    <col min="3094" max="3095" width="8.58203125" style="9" customWidth="1"/>
    <col min="3096" max="3096" width="11.83203125" style="9" bestFit="1" customWidth="1"/>
    <col min="3097" max="3322" width="9" style="9"/>
    <col min="3323" max="3323" width="5.33203125" style="9" customWidth="1"/>
    <col min="3324" max="3324" width="43.58203125" style="9" customWidth="1"/>
    <col min="3325" max="3325" width="5.75" style="9" customWidth="1"/>
    <col min="3326" max="3327" width="7.83203125" style="9" customWidth="1"/>
    <col min="3328" max="3329" width="8" style="9" customWidth="1"/>
    <col min="3330" max="3331" width="9.08203125" style="9" customWidth="1"/>
    <col min="3332" max="3333" width="8.75" style="9" customWidth="1"/>
    <col min="3334" max="3335" width="8.5" style="9" customWidth="1"/>
    <col min="3336" max="3337" width="8.25" style="9" customWidth="1"/>
    <col min="3338" max="3339" width="7.58203125" style="9" customWidth="1"/>
    <col min="3340" max="3341" width="8.58203125" style="9" customWidth="1"/>
    <col min="3342" max="3343" width="7.83203125" style="9" customWidth="1"/>
    <col min="3344" max="3345" width="7.75" style="9" customWidth="1"/>
    <col min="3346" max="3347" width="8.08203125" style="9" customWidth="1"/>
    <col min="3348" max="3348" width="8.83203125" style="9" customWidth="1"/>
    <col min="3349" max="3349" width="8.08203125" style="9" customWidth="1"/>
    <col min="3350" max="3351" width="8.58203125" style="9" customWidth="1"/>
    <col min="3352" max="3352" width="11.83203125" style="9" bestFit="1" customWidth="1"/>
    <col min="3353" max="3578" width="9" style="9"/>
    <col min="3579" max="3579" width="5.33203125" style="9" customWidth="1"/>
    <col min="3580" max="3580" width="43.58203125" style="9" customWidth="1"/>
    <col min="3581" max="3581" width="5.75" style="9" customWidth="1"/>
    <col min="3582" max="3583" width="7.83203125" style="9" customWidth="1"/>
    <col min="3584" max="3585" width="8" style="9" customWidth="1"/>
    <col min="3586" max="3587" width="9.08203125" style="9" customWidth="1"/>
    <col min="3588" max="3589" width="8.75" style="9" customWidth="1"/>
    <col min="3590" max="3591" width="8.5" style="9" customWidth="1"/>
    <col min="3592" max="3593" width="8.25" style="9" customWidth="1"/>
    <col min="3594" max="3595" width="7.58203125" style="9" customWidth="1"/>
    <col min="3596" max="3597" width="8.58203125" style="9" customWidth="1"/>
    <col min="3598" max="3599" width="7.83203125" style="9" customWidth="1"/>
    <col min="3600" max="3601" width="7.75" style="9" customWidth="1"/>
    <col min="3602" max="3603" width="8.08203125" style="9" customWidth="1"/>
    <col min="3604" max="3604" width="8.83203125" style="9" customWidth="1"/>
    <col min="3605" max="3605" width="8.08203125" style="9" customWidth="1"/>
    <col min="3606" max="3607" width="8.58203125" style="9" customWidth="1"/>
    <col min="3608" max="3608" width="11.83203125" style="9" bestFit="1" customWidth="1"/>
    <col min="3609" max="3834" width="9" style="9"/>
    <col min="3835" max="3835" width="5.33203125" style="9" customWidth="1"/>
    <col min="3836" max="3836" width="43.58203125" style="9" customWidth="1"/>
    <col min="3837" max="3837" width="5.75" style="9" customWidth="1"/>
    <col min="3838" max="3839" width="7.83203125" style="9" customWidth="1"/>
    <col min="3840" max="3841" width="8" style="9" customWidth="1"/>
    <col min="3842" max="3843" width="9.08203125" style="9" customWidth="1"/>
    <col min="3844" max="3845" width="8.75" style="9" customWidth="1"/>
    <col min="3846" max="3847" width="8.5" style="9" customWidth="1"/>
    <col min="3848" max="3849" width="8.25" style="9" customWidth="1"/>
    <col min="3850" max="3851" width="7.58203125" style="9" customWidth="1"/>
    <col min="3852" max="3853" width="8.58203125" style="9" customWidth="1"/>
    <col min="3854" max="3855" width="7.83203125" style="9" customWidth="1"/>
    <col min="3856" max="3857" width="7.75" style="9" customWidth="1"/>
    <col min="3858" max="3859" width="8.08203125" style="9" customWidth="1"/>
    <col min="3860" max="3860" width="8.83203125" style="9" customWidth="1"/>
    <col min="3861" max="3861" width="8.08203125" style="9" customWidth="1"/>
    <col min="3862" max="3863" width="8.58203125" style="9" customWidth="1"/>
    <col min="3864" max="3864" width="11.83203125" style="9" bestFit="1" customWidth="1"/>
    <col min="3865" max="4090" width="9" style="9"/>
    <col min="4091" max="4091" width="5.33203125" style="9" customWidth="1"/>
    <col min="4092" max="4092" width="43.58203125" style="9" customWidth="1"/>
    <col min="4093" max="4093" width="5.75" style="9" customWidth="1"/>
    <col min="4094" max="4095" width="7.83203125" style="9" customWidth="1"/>
    <col min="4096" max="4097" width="8" style="9" customWidth="1"/>
    <col min="4098" max="4099" width="9.08203125" style="9" customWidth="1"/>
    <col min="4100" max="4101" width="8.75" style="9" customWidth="1"/>
    <col min="4102" max="4103" width="8.5" style="9" customWidth="1"/>
    <col min="4104" max="4105" width="8.25" style="9" customWidth="1"/>
    <col min="4106" max="4107" width="7.58203125" style="9" customWidth="1"/>
    <col min="4108" max="4109" width="8.58203125" style="9" customWidth="1"/>
    <col min="4110" max="4111" width="7.83203125" style="9" customWidth="1"/>
    <col min="4112" max="4113" width="7.75" style="9" customWidth="1"/>
    <col min="4114" max="4115" width="8.08203125" style="9" customWidth="1"/>
    <col min="4116" max="4116" width="8.83203125" style="9" customWidth="1"/>
    <col min="4117" max="4117" width="8.08203125" style="9" customWidth="1"/>
    <col min="4118" max="4119" width="8.58203125" style="9" customWidth="1"/>
    <col min="4120" max="4120" width="11.83203125" style="9" bestFit="1" customWidth="1"/>
    <col min="4121" max="4346" width="9" style="9"/>
    <col min="4347" max="4347" width="5.33203125" style="9" customWidth="1"/>
    <col min="4348" max="4348" width="43.58203125" style="9" customWidth="1"/>
    <col min="4349" max="4349" width="5.75" style="9" customWidth="1"/>
    <col min="4350" max="4351" width="7.83203125" style="9" customWidth="1"/>
    <col min="4352" max="4353" width="8" style="9" customWidth="1"/>
    <col min="4354" max="4355" width="9.08203125" style="9" customWidth="1"/>
    <col min="4356" max="4357" width="8.75" style="9" customWidth="1"/>
    <col min="4358" max="4359" width="8.5" style="9" customWidth="1"/>
    <col min="4360" max="4361" width="8.25" style="9" customWidth="1"/>
    <col min="4362" max="4363" width="7.58203125" style="9" customWidth="1"/>
    <col min="4364" max="4365" width="8.58203125" style="9" customWidth="1"/>
    <col min="4366" max="4367" width="7.83203125" style="9" customWidth="1"/>
    <col min="4368" max="4369" width="7.75" style="9" customWidth="1"/>
    <col min="4370" max="4371" width="8.08203125" style="9" customWidth="1"/>
    <col min="4372" max="4372" width="8.83203125" style="9" customWidth="1"/>
    <col min="4373" max="4373" width="8.08203125" style="9" customWidth="1"/>
    <col min="4374" max="4375" width="8.58203125" style="9" customWidth="1"/>
    <col min="4376" max="4376" width="11.83203125" style="9" bestFit="1" customWidth="1"/>
    <col min="4377" max="4602" width="9" style="9"/>
    <col min="4603" max="4603" width="5.33203125" style="9" customWidth="1"/>
    <col min="4604" max="4604" width="43.58203125" style="9" customWidth="1"/>
    <col min="4605" max="4605" width="5.75" style="9" customWidth="1"/>
    <col min="4606" max="4607" width="7.83203125" style="9" customWidth="1"/>
    <col min="4608" max="4609" width="8" style="9" customWidth="1"/>
    <col min="4610" max="4611" width="9.08203125" style="9" customWidth="1"/>
    <col min="4612" max="4613" width="8.75" style="9" customWidth="1"/>
    <col min="4614" max="4615" width="8.5" style="9" customWidth="1"/>
    <col min="4616" max="4617" width="8.25" style="9" customWidth="1"/>
    <col min="4618" max="4619" width="7.58203125" style="9" customWidth="1"/>
    <col min="4620" max="4621" width="8.58203125" style="9" customWidth="1"/>
    <col min="4622" max="4623" width="7.83203125" style="9" customWidth="1"/>
    <col min="4624" max="4625" width="7.75" style="9" customWidth="1"/>
    <col min="4626" max="4627" width="8.08203125" style="9" customWidth="1"/>
    <col min="4628" max="4628" width="8.83203125" style="9" customWidth="1"/>
    <col min="4629" max="4629" width="8.08203125" style="9" customWidth="1"/>
    <col min="4630" max="4631" width="8.58203125" style="9" customWidth="1"/>
    <col min="4632" max="4632" width="11.83203125" style="9" bestFit="1" customWidth="1"/>
    <col min="4633" max="4858" width="9" style="9"/>
    <col min="4859" max="4859" width="5.33203125" style="9" customWidth="1"/>
    <col min="4860" max="4860" width="43.58203125" style="9" customWidth="1"/>
    <col min="4861" max="4861" width="5.75" style="9" customWidth="1"/>
    <col min="4862" max="4863" width="7.83203125" style="9" customWidth="1"/>
    <col min="4864" max="4865" width="8" style="9" customWidth="1"/>
    <col min="4866" max="4867" width="9.08203125" style="9" customWidth="1"/>
    <col min="4868" max="4869" width="8.75" style="9" customWidth="1"/>
    <col min="4870" max="4871" width="8.5" style="9" customWidth="1"/>
    <col min="4872" max="4873" width="8.25" style="9" customWidth="1"/>
    <col min="4874" max="4875" width="7.58203125" style="9" customWidth="1"/>
    <col min="4876" max="4877" width="8.58203125" style="9" customWidth="1"/>
    <col min="4878" max="4879" width="7.83203125" style="9" customWidth="1"/>
    <col min="4880" max="4881" width="7.75" style="9" customWidth="1"/>
    <col min="4882" max="4883" width="8.08203125" style="9" customWidth="1"/>
    <col min="4884" max="4884" width="8.83203125" style="9" customWidth="1"/>
    <col min="4885" max="4885" width="8.08203125" style="9" customWidth="1"/>
    <col min="4886" max="4887" width="8.58203125" style="9" customWidth="1"/>
    <col min="4888" max="4888" width="11.83203125" style="9" bestFit="1" customWidth="1"/>
    <col min="4889" max="5114" width="9" style="9"/>
    <col min="5115" max="5115" width="5.33203125" style="9" customWidth="1"/>
    <col min="5116" max="5116" width="43.58203125" style="9" customWidth="1"/>
    <col min="5117" max="5117" width="5.75" style="9" customWidth="1"/>
    <col min="5118" max="5119" width="7.83203125" style="9" customWidth="1"/>
    <col min="5120" max="5121" width="8" style="9" customWidth="1"/>
    <col min="5122" max="5123" width="9.08203125" style="9" customWidth="1"/>
    <col min="5124" max="5125" width="8.75" style="9" customWidth="1"/>
    <col min="5126" max="5127" width="8.5" style="9" customWidth="1"/>
    <col min="5128" max="5129" width="8.25" style="9" customWidth="1"/>
    <col min="5130" max="5131" width="7.58203125" style="9" customWidth="1"/>
    <col min="5132" max="5133" width="8.58203125" style="9" customWidth="1"/>
    <col min="5134" max="5135" width="7.83203125" style="9" customWidth="1"/>
    <col min="5136" max="5137" width="7.75" style="9" customWidth="1"/>
    <col min="5138" max="5139" width="8.08203125" style="9" customWidth="1"/>
    <col min="5140" max="5140" width="8.83203125" style="9" customWidth="1"/>
    <col min="5141" max="5141" width="8.08203125" style="9" customWidth="1"/>
    <col min="5142" max="5143" width="8.58203125" style="9" customWidth="1"/>
    <col min="5144" max="5144" width="11.83203125" style="9" bestFit="1" customWidth="1"/>
    <col min="5145" max="5370" width="9" style="9"/>
    <col min="5371" max="5371" width="5.33203125" style="9" customWidth="1"/>
    <col min="5372" max="5372" width="43.58203125" style="9" customWidth="1"/>
    <col min="5373" max="5373" width="5.75" style="9" customWidth="1"/>
    <col min="5374" max="5375" width="7.83203125" style="9" customWidth="1"/>
    <col min="5376" max="5377" width="8" style="9" customWidth="1"/>
    <col min="5378" max="5379" width="9.08203125" style="9" customWidth="1"/>
    <col min="5380" max="5381" width="8.75" style="9" customWidth="1"/>
    <col min="5382" max="5383" width="8.5" style="9" customWidth="1"/>
    <col min="5384" max="5385" width="8.25" style="9" customWidth="1"/>
    <col min="5386" max="5387" width="7.58203125" style="9" customWidth="1"/>
    <col min="5388" max="5389" width="8.58203125" style="9" customWidth="1"/>
    <col min="5390" max="5391" width="7.83203125" style="9" customWidth="1"/>
    <col min="5392" max="5393" width="7.75" style="9" customWidth="1"/>
    <col min="5394" max="5395" width="8.08203125" style="9" customWidth="1"/>
    <col min="5396" max="5396" width="8.83203125" style="9" customWidth="1"/>
    <col min="5397" max="5397" width="8.08203125" style="9" customWidth="1"/>
    <col min="5398" max="5399" width="8.58203125" style="9" customWidth="1"/>
    <col min="5400" max="5400" width="11.83203125" style="9" bestFit="1" customWidth="1"/>
    <col min="5401" max="5626" width="9" style="9"/>
    <col min="5627" max="5627" width="5.33203125" style="9" customWidth="1"/>
    <col min="5628" max="5628" width="43.58203125" style="9" customWidth="1"/>
    <col min="5629" max="5629" width="5.75" style="9" customWidth="1"/>
    <col min="5630" max="5631" width="7.83203125" style="9" customWidth="1"/>
    <col min="5632" max="5633" width="8" style="9" customWidth="1"/>
    <col min="5634" max="5635" width="9.08203125" style="9" customWidth="1"/>
    <col min="5636" max="5637" width="8.75" style="9" customWidth="1"/>
    <col min="5638" max="5639" width="8.5" style="9" customWidth="1"/>
    <col min="5640" max="5641" width="8.25" style="9" customWidth="1"/>
    <col min="5642" max="5643" width="7.58203125" style="9" customWidth="1"/>
    <col min="5644" max="5645" width="8.58203125" style="9" customWidth="1"/>
    <col min="5646" max="5647" width="7.83203125" style="9" customWidth="1"/>
    <col min="5648" max="5649" width="7.75" style="9" customWidth="1"/>
    <col min="5650" max="5651" width="8.08203125" style="9" customWidth="1"/>
    <col min="5652" max="5652" width="8.83203125" style="9" customWidth="1"/>
    <col min="5653" max="5653" width="8.08203125" style="9" customWidth="1"/>
    <col min="5654" max="5655" width="8.58203125" style="9" customWidth="1"/>
    <col min="5656" max="5656" width="11.83203125" style="9" bestFit="1" customWidth="1"/>
    <col min="5657" max="5882" width="9" style="9"/>
    <col min="5883" max="5883" width="5.33203125" style="9" customWidth="1"/>
    <col min="5884" max="5884" width="43.58203125" style="9" customWidth="1"/>
    <col min="5885" max="5885" width="5.75" style="9" customWidth="1"/>
    <col min="5886" max="5887" width="7.83203125" style="9" customWidth="1"/>
    <col min="5888" max="5889" width="8" style="9" customWidth="1"/>
    <col min="5890" max="5891" width="9.08203125" style="9" customWidth="1"/>
    <col min="5892" max="5893" width="8.75" style="9" customWidth="1"/>
    <col min="5894" max="5895" width="8.5" style="9" customWidth="1"/>
    <col min="5896" max="5897" width="8.25" style="9" customWidth="1"/>
    <col min="5898" max="5899" width="7.58203125" style="9" customWidth="1"/>
    <col min="5900" max="5901" width="8.58203125" style="9" customWidth="1"/>
    <col min="5902" max="5903" width="7.83203125" style="9" customWidth="1"/>
    <col min="5904" max="5905" width="7.75" style="9" customWidth="1"/>
    <col min="5906" max="5907" width="8.08203125" style="9" customWidth="1"/>
    <col min="5908" max="5908" width="8.83203125" style="9" customWidth="1"/>
    <col min="5909" max="5909" width="8.08203125" style="9" customWidth="1"/>
    <col min="5910" max="5911" width="8.58203125" style="9" customWidth="1"/>
    <col min="5912" max="5912" width="11.83203125" style="9" bestFit="1" customWidth="1"/>
    <col min="5913" max="6138" width="9" style="9"/>
    <col min="6139" max="6139" width="5.33203125" style="9" customWidth="1"/>
    <col min="6140" max="6140" width="43.58203125" style="9" customWidth="1"/>
    <col min="6141" max="6141" width="5.75" style="9" customWidth="1"/>
    <col min="6142" max="6143" width="7.83203125" style="9" customWidth="1"/>
    <col min="6144" max="6145" width="8" style="9" customWidth="1"/>
    <col min="6146" max="6147" width="9.08203125" style="9" customWidth="1"/>
    <col min="6148" max="6149" width="8.75" style="9" customWidth="1"/>
    <col min="6150" max="6151" width="8.5" style="9" customWidth="1"/>
    <col min="6152" max="6153" width="8.25" style="9" customWidth="1"/>
    <col min="6154" max="6155" width="7.58203125" style="9" customWidth="1"/>
    <col min="6156" max="6157" width="8.58203125" style="9" customWidth="1"/>
    <col min="6158" max="6159" width="7.83203125" style="9" customWidth="1"/>
    <col min="6160" max="6161" width="7.75" style="9" customWidth="1"/>
    <col min="6162" max="6163" width="8.08203125" style="9" customWidth="1"/>
    <col min="6164" max="6164" width="8.83203125" style="9" customWidth="1"/>
    <col min="6165" max="6165" width="8.08203125" style="9" customWidth="1"/>
    <col min="6166" max="6167" width="8.58203125" style="9" customWidth="1"/>
    <col min="6168" max="6168" width="11.83203125" style="9" bestFit="1" customWidth="1"/>
    <col min="6169" max="6394" width="9" style="9"/>
    <col min="6395" max="6395" width="5.33203125" style="9" customWidth="1"/>
    <col min="6396" max="6396" width="43.58203125" style="9" customWidth="1"/>
    <col min="6397" max="6397" width="5.75" style="9" customWidth="1"/>
    <col min="6398" max="6399" width="7.83203125" style="9" customWidth="1"/>
    <col min="6400" max="6401" width="8" style="9" customWidth="1"/>
    <col min="6402" max="6403" width="9.08203125" style="9" customWidth="1"/>
    <col min="6404" max="6405" width="8.75" style="9" customWidth="1"/>
    <col min="6406" max="6407" width="8.5" style="9" customWidth="1"/>
    <col min="6408" max="6409" width="8.25" style="9" customWidth="1"/>
    <col min="6410" max="6411" width="7.58203125" style="9" customWidth="1"/>
    <col min="6412" max="6413" width="8.58203125" style="9" customWidth="1"/>
    <col min="6414" max="6415" width="7.83203125" style="9" customWidth="1"/>
    <col min="6416" max="6417" width="7.75" style="9" customWidth="1"/>
    <col min="6418" max="6419" width="8.08203125" style="9" customWidth="1"/>
    <col min="6420" max="6420" width="8.83203125" style="9" customWidth="1"/>
    <col min="6421" max="6421" width="8.08203125" style="9" customWidth="1"/>
    <col min="6422" max="6423" width="8.58203125" style="9" customWidth="1"/>
    <col min="6424" max="6424" width="11.83203125" style="9" bestFit="1" customWidth="1"/>
    <col min="6425" max="6650" width="9" style="9"/>
    <col min="6651" max="6651" width="5.33203125" style="9" customWidth="1"/>
    <col min="6652" max="6652" width="43.58203125" style="9" customWidth="1"/>
    <col min="6653" max="6653" width="5.75" style="9" customWidth="1"/>
    <col min="6654" max="6655" width="7.83203125" style="9" customWidth="1"/>
    <col min="6656" max="6657" width="8" style="9" customWidth="1"/>
    <col min="6658" max="6659" width="9.08203125" style="9" customWidth="1"/>
    <col min="6660" max="6661" width="8.75" style="9" customWidth="1"/>
    <col min="6662" max="6663" width="8.5" style="9" customWidth="1"/>
    <col min="6664" max="6665" width="8.25" style="9" customWidth="1"/>
    <col min="6666" max="6667" width="7.58203125" style="9" customWidth="1"/>
    <col min="6668" max="6669" width="8.58203125" style="9" customWidth="1"/>
    <col min="6670" max="6671" width="7.83203125" style="9" customWidth="1"/>
    <col min="6672" max="6673" width="7.75" style="9" customWidth="1"/>
    <col min="6674" max="6675" width="8.08203125" style="9" customWidth="1"/>
    <col min="6676" max="6676" width="8.83203125" style="9" customWidth="1"/>
    <col min="6677" max="6677" width="8.08203125" style="9" customWidth="1"/>
    <col min="6678" max="6679" width="8.58203125" style="9" customWidth="1"/>
    <col min="6680" max="6680" width="11.83203125" style="9" bestFit="1" customWidth="1"/>
    <col min="6681" max="6906" width="9" style="9"/>
    <col min="6907" max="6907" width="5.33203125" style="9" customWidth="1"/>
    <col min="6908" max="6908" width="43.58203125" style="9" customWidth="1"/>
    <col min="6909" max="6909" width="5.75" style="9" customWidth="1"/>
    <col min="6910" max="6911" width="7.83203125" style="9" customWidth="1"/>
    <col min="6912" max="6913" width="8" style="9" customWidth="1"/>
    <col min="6914" max="6915" width="9.08203125" style="9" customWidth="1"/>
    <col min="6916" max="6917" width="8.75" style="9" customWidth="1"/>
    <col min="6918" max="6919" width="8.5" style="9" customWidth="1"/>
    <col min="6920" max="6921" width="8.25" style="9" customWidth="1"/>
    <col min="6922" max="6923" width="7.58203125" style="9" customWidth="1"/>
    <col min="6924" max="6925" width="8.58203125" style="9" customWidth="1"/>
    <col min="6926" max="6927" width="7.83203125" style="9" customWidth="1"/>
    <col min="6928" max="6929" width="7.75" style="9" customWidth="1"/>
    <col min="6930" max="6931" width="8.08203125" style="9" customWidth="1"/>
    <col min="6932" max="6932" width="8.83203125" style="9" customWidth="1"/>
    <col min="6933" max="6933" width="8.08203125" style="9" customWidth="1"/>
    <col min="6934" max="6935" width="8.58203125" style="9" customWidth="1"/>
    <col min="6936" max="6936" width="11.83203125" style="9" bestFit="1" customWidth="1"/>
    <col min="6937" max="7162" width="9" style="9"/>
    <col min="7163" max="7163" width="5.33203125" style="9" customWidth="1"/>
    <col min="7164" max="7164" width="43.58203125" style="9" customWidth="1"/>
    <col min="7165" max="7165" width="5.75" style="9" customWidth="1"/>
    <col min="7166" max="7167" width="7.83203125" style="9" customWidth="1"/>
    <col min="7168" max="7169" width="8" style="9" customWidth="1"/>
    <col min="7170" max="7171" width="9.08203125" style="9" customWidth="1"/>
    <col min="7172" max="7173" width="8.75" style="9" customWidth="1"/>
    <col min="7174" max="7175" width="8.5" style="9" customWidth="1"/>
    <col min="7176" max="7177" width="8.25" style="9" customWidth="1"/>
    <col min="7178" max="7179" width="7.58203125" style="9" customWidth="1"/>
    <col min="7180" max="7181" width="8.58203125" style="9" customWidth="1"/>
    <col min="7182" max="7183" width="7.83203125" style="9" customWidth="1"/>
    <col min="7184" max="7185" width="7.75" style="9" customWidth="1"/>
    <col min="7186" max="7187" width="8.08203125" style="9" customWidth="1"/>
    <col min="7188" max="7188" width="8.83203125" style="9" customWidth="1"/>
    <col min="7189" max="7189" width="8.08203125" style="9" customWidth="1"/>
    <col min="7190" max="7191" width="8.58203125" style="9" customWidth="1"/>
    <col min="7192" max="7192" width="11.83203125" style="9" bestFit="1" customWidth="1"/>
    <col min="7193" max="7418" width="9" style="9"/>
    <col min="7419" max="7419" width="5.33203125" style="9" customWidth="1"/>
    <col min="7420" max="7420" width="43.58203125" style="9" customWidth="1"/>
    <col min="7421" max="7421" width="5.75" style="9" customWidth="1"/>
    <col min="7422" max="7423" width="7.83203125" style="9" customWidth="1"/>
    <col min="7424" max="7425" width="8" style="9" customWidth="1"/>
    <col min="7426" max="7427" width="9.08203125" style="9" customWidth="1"/>
    <col min="7428" max="7429" width="8.75" style="9" customWidth="1"/>
    <col min="7430" max="7431" width="8.5" style="9" customWidth="1"/>
    <col min="7432" max="7433" width="8.25" style="9" customWidth="1"/>
    <col min="7434" max="7435" width="7.58203125" style="9" customWidth="1"/>
    <col min="7436" max="7437" width="8.58203125" style="9" customWidth="1"/>
    <col min="7438" max="7439" width="7.83203125" style="9" customWidth="1"/>
    <col min="7440" max="7441" width="7.75" style="9" customWidth="1"/>
    <col min="7442" max="7443" width="8.08203125" style="9" customWidth="1"/>
    <col min="7444" max="7444" width="8.83203125" style="9" customWidth="1"/>
    <col min="7445" max="7445" width="8.08203125" style="9" customWidth="1"/>
    <col min="7446" max="7447" width="8.58203125" style="9" customWidth="1"/>
    <col min="7448" max="7448" width="11.83203125" style="9" bestFit="1" customWidth="1"/>
    <col min="7449" max="7674" width="9" style="9"/>
    <col min="7675" max="7675" width="5.33203125" style="9" customWidth="1"/>
    <col min="7676" max="7676" width="43.58203125" style="9" customWidth="1"/>
    <col min="7677" max="7677" width="5.75" style="9" customWidth="1"/>
    <col min="7678" max="7679" width="7.83203125" style="9" customWidth="1"/>
    <col min="7680" max="7681" width="8" style="9" customWidth="1"/>
    <col min="7682" max="7683" width="9.08203125" style="9" customWidth="1"/>
    <col min="7684" max="7685" width="8.75" style="9" customWidth="1"/>
    <col min="7686" max="7687" width="8.5" style="9" customWidth="1"/>
    <col min="7688" max="7689" width="8.25" style="9" customWidth="1"/>
    <col min="7690" max="7691" width="7.58203125" style="9" customWidth="1"/>
    <col min="7692" max="7693" width="8.58203125" style="9" customWidth="1"/>
    <col min="7694" max="7695" width="7.83203125" style="9" customWidth="1"/>
    <col min="7696" max="7697" width="7.75" style="9" customWidth="1"/>
    <col min="7698" max="7699" width="8.08203125" style="9" customWidth="1"/>
    <col min="7700" max="7700" width="8.83203125" style="9" customWidth="1"/>
    <col min="7701" max="7701" width="8.08203125" style="9" customWidth="1"/>
    <col min="7702" max="7703" width="8.58203125" style="9" customWidth="1"/>
    <col min="7704" max="7704" width="11.83203125" style="9" bestFit="1" customWidth="1"/>
    <col min="7705" max="7930" width="9" style="9"/>
    <col min="7931" max="7931" width="5.33203125" style="9" customWidth="1"/>
    <col min="7932" max="7932" width="43.58203125" style="9" customWidth="1"/>
    <col min="7933" max="7933" width="5.75" style="9" customWidth="1"/>
    <col min="7934" max="7935" width="7.83203125" style="9" customWidth="1"/>
    <col min="7936" max="7937" width="8" style="9" customWidth="1"/>
    <col min="7938" max="7939" width="9.08203125" style="9" customWidth="1"/>
    <col min="7940" max="7941" width="8.75" style="9" customWidth="1"/>
    <col min="7942" max="7943" width="8.5" style="9" customWidth="1"/>
    <col min="7944" max="7945" width="8.25" style="9" customWidth="1"/>
    <col min="7946" max="7947" width="7.58203125" style="9" customWidth="1"/>
    <col min="7948" max="7949" width="8.58203125" style="9" customWidth="1"/>
    <col min="7950" max="7951" width="7.83203125" style="9" customWidth="1"/>
    <col min="7952" max="7953" width="7.75" style="9" customWidth="1"/>
    <col min="7954" max="7955" width="8.08203125" style="9" customWidth="1"/>
    <col min="7956" max="7956" width="8.83203125" style="9" customWidth="1"/>
    <col min="7957" max="7957" width="8.08203125" style="9" customWidth="1"/>
    <col min="7958" max="7959" width="8.58203125" style="9" customWidth="1"/>
    <col min="7960" max="7960" width="11.83203125" style="9" bestFit="1" customWidth="1"/>
    <col min="7961" max="8186" width="9" style="9"/>
    <col min="8187" max="8187" width="5.33203125" style="9" customWidth="1"/>
    <col min="8188" max="8188" width="43.58203125" style="9" customWidth="1"/>
    <col min="8189" max="8189" width="5.75" style="9" customWidth="1"/>
    <col min="8190" max="8191" width="7.83203125" style="9" customWidth="1"/>
    <col min="8192" max="8193" width="8" style="9" customWidth="1"/>
    <col min="8194" max="8195" width="9.08203125" style="9" customWidth="1"/>
    <col min="8196" max="8197" width="8.75" style="9" customWidth="1"/>
    <col min="8198" max="8199" width="8.5" style="9" customWidth="1"/>
    <col min="8200" max="8201" width="8.25" style="9" customWidth="1"/>
    <col min="8202" max="8203" width="7.58203125" style="9" customWidth="1"/>
    <col min="8204" max="8205" width="8.58203125" style="9" customWidth="1"/>
    <col min="8206" max="8207" width="7.83203125" style="9" customWidth="1"/>
    <col min="8208" max="8209" width="7.75" style="9" customWidth="1"/>
    <col min="8210" max="8211" width="8.08203125" style="9" customWidth="1"/>
    <col min="8212" max="8212" width="8.83203125" style="9" customWidth="1"/>
    <col min="8213" max="8213" width="8.08203125" style="9" customWidth="1"/>
    <col min="8214" max="8215" width="8.58203125" style="9" customWidth="1"/>
    <col min="8216" max="8216" width="11.83203125" style="9" bestFit="1" customWidth="1"/>
    <col min="8217" max="8442" width="9" style="9"/>
    <col min="8443" max="8443" width="5.33203125" style="9" customWidth="1"/>
    <col min="8444" max="8444" width="43.58203125" style="9" customWidth="1"/>
    <col min="8445" max="8445" width="5.75" style="9" customWidth="1"/>
    <col min="8446" max="8447" width="7.83203125" style="9" customWidth="1"/>
    <col min="8448" max="8449" width="8" style="9" customWidth="1"/>
    <col min="8450" max="8451" width="9.08203125" style="9" customWidth="1"/>
    <col min="8452" max="8453" width="8.75" style="9" customWidth="1"/>
    <col min="8454" max="8455" width="8.5" style="9" customWidth="1"/>
    <col min="8456" max="8457" width="8.25" style="9" customWidth="1"/>
    <col min="8458" max="8459" width="7.58203125" style="9" customWidth="1"/>
    <col min="8460" max="8461" width="8.58203125" style="9" customWidth="1"/>
    <col min="8462" max="8463" width="7.83203125" style="9" customWidth="1"/>
    <col min="8464" max="8465" width="7.75" style="9" customWidth="1"/>
    <col min="8466" max="8467" width="8.08203125" style="9" customWidth="1"/>
    <col min="8468" max="8468" width="8.83203125" style="9" customWidth="1"/>
    <col min="8469" max="8469" width="8.08203125" style="9" customWidth="1"/>
    <col min="8470" max="8471" width="8.58203125" style="9" customWidth="1"/>
    <col min="8472" max="8472" width="11.83203125" style="9" bestFit="1" customWidth="1"/>
    <col min="8473" max="8698" width="9" style="9"/>
    <col min="8699" max="8699" width="5.33203125" style="9" customWidth="1"/>
    <col min="8700" max="8700" width="43.58203125" style="9" customWidth="1"/>
    <col min="8701" max="8701" width="5.75" style="9" customWidth="1"/>
    <col min="8702" max="8703" width="7.83203125" style="9" customWidth="1"/>
    <col min="8704" max="8705" width="8" style="9" customWidth="1"/>
    <col min="8706" max="8707" width="9.08203125" style="9" customWidth="1"/>
    <col min="8708" max="8709" width="8.75" style="9" customWidth="1"/>
    <col min="8710" max="8711" width="8.5" style="9" customWidth="1"/>
    <col min="8712" max="8713" width="8.25" style="9" customWidth="1"/>
    <col min="8714" max="8715" width="7.58203125" style="9" customWidth="1"/>
    <col min="8716" max="8717" width="8.58203125" style="9" customWidth="1"/>
    <col min="8718" max="8719" width="7.83203125" style="9" customWidth="1"/>
    <col min="8720" max="8721" width="7.75" style="9" customWidth="1"/>
    <col min="8722" max="8723" width="8.08203125" style="9" customWidth="1"/>
    <col min="8724" max="8724" width="8.83203125" style="9" customWidth="1"/>
    <col min="8725" max="8725" width="8.08203125" style="9" customWidth="1"/>
    <col min="8726" max="8727" width="8.58203125" style="9" customWidth="1"/>
    <col min="8728" max="8728" width="11.83203125" style="9" bestFit="1" customWidth="1"/>
    <col min="8729" max="8954" width="9" style="9"/>
    <col min="8955" max="8955" width="5.33203125" style="9" customWidth="1"/>
    <col min="8956" max="8956" width="43.58203125" style="9" customWidth="1"/>
    <col min="8957" max="8957" width="5.75" style="9" customWidth="1"/>
    <col min="8958" max="8959" width="7.83203125" style="9" customWidth="1"/>
    <col min="8960" max="8961" width="8" style="9" customWidth="1"/>
    <col min="8962" max="8963" width="9.08203125" style="9" customWidth="1"/>
    <col min="8964" max="8965" width="8.75" style="9" customWidth="1"/>
    <col min="8966" max="8967" width="8.5" style="9" customWidth="1"/>
    <col min="8968" max="8969" width="8.25" style="9" customWidth="1"/>
    <col min="8970" max="8971" width="7.58203125" style="9" customWidth="1"/>
    <col min="8972" max="8973" width="8.58203125" style="9" customWidth="1"/>
    <col min="8974" max="8975" width="7.83203125" style="9" customWidth="1"/>
    <col min="8976" max="8977" width="7.75" style="9" customWidth="1"/>
    <col min="8978" max="8979" width="8.08203125" style="9" customWidth="1"/>
    <col min="8980" max="8980" width="8.83203125" style="9" customWidth="1"/>
    <col min="8981" max="8981" width="8.08203125" style="9" customWidth="1"/>
    <col min="8982" max="8983" width="8.58203125" style="9" customWidth="1"/>
    <col min="8984" max="8984" width="11.83203125" style="9" bestFit="1" customWidth="1"/>
    <col min="8985" max="9210" width="9" style="9"/>
    <col min="9211" max="9211" width="5.33203125" style="9" customWidth="1"/>
    <col min="9212" max="9212" width="43.58203125" style="9" customWidth="1"/>
    <col min="9213" max="9213" width="5.75" style="9" customWidth="1"/>
    <col min="9214" max="9215" width="7.83203125" style="9" customWidth="1"/>
    <col min="9216" max="9217" width="8" style="9" customWidth="1"/>
    <col min="9218" max="9219" width="9.08203125" style="9" customWidth="1"/>
    <col min="9220" max="9221" width="8.75" style="9" customWidth="1"/>
    <col min="9222" max="9223" width="8.5" style="9" customWidth="1"/>
    <col min="9224" max="9225" width="8.25" style="9" customWidth="1"/>
    <col min="9226" max="9227" width="7.58203125" style="9" customWidth="1"/>
    <col min="9228" max="9229" width="8.58203125" style="9" customWidth="1"/>
    <col min="9230" max="9231" width="7.83203125" style="9" customWidth="1"/>
    <col min="9232" max="9233" width="7.75" style="9" customWidth="1"/>
    <col min="9234" max="9235" width="8.08203125" style="9" customWidth="1"/>
    <col min="9236" max="9236" width="8.83203125" style="9" customWidth="1"/>
    <col min="9237" max="9237" width="8.08203125" style="9" customWidth="1"/>
    <col min="9238" max="9239" width="8.58203125" style="9" customWidth="1"/>
    <col min="9240" max="9240" width="11.83203125" style="9" bestFit="1" customWidth="1"/>
    <col min="9241" max="9466" width="9" style="9"/>
    <col min="9467" max="9467" width="5.33203125" style="9" customWidth="1"/>
    <col min="9468" max="9468" width="43.58203125" style="9" customWidth="1"/>
    <col min="9469" max="9469" width="5.75" style="9" customWidth="1"/>
    <col min="9470" max="9471" width="7.83203125" style="9" customWidth="1"/>
    <col min="9472" max="9473" width="8" style="9" customWidth="1"/>
    <col min="9474" max="9475" width="9.08203125" style="9" customWidth="1"/>
    <col min="9476" max="9477" width="8.75" style="9" customWidth="1"/>
    <col min="9478" max="9479" width="8.5" style="9" customWidth="1"/>
    <col min="9480" max="9481" width="8.25" style="9" customWidth="1"/>
    <col min="9482" max="9483" width="7.58203125" style="9" customWidth="1"/>
    <col min="9484" max="9485" width="8.58203125" style="9" customWidth="1"/>
    <col min="9486" max="9487" width="7.83203125" style="9" customWidth="1"/>
    <col min="9488" max="9489" width="7.75" style="9" customWidth="1"/>
    <col min="9490" max="9491" width="8.08203125" style="9" customWidth="1"/>
    <col min="9492" max="9492" width="8.83203125" style="9" customWidth="1"/>
    <col min="9493" max="9493" width="8.08203125" style="9" customWidth="1"/>
    <col min="9494" max="9495" width="8.58203125" style="9" customWidth="1"/>
    <col min="9496" max="9496" width="11.83203125" style="9" bestFit="1" customWidth="1"/>
    <col min="9497" max="9722" width="9" style="9"/>
    <col min="9723" max="9723" width="5.33203125" style="9" customWidth="1"/>
    <col min="9724" max="9724" width="43.58203125" style="9" customWidth="1"/>
    <col min="9725" max="9725" width="5.75" style="9" customWidth="1"/>
    <col min="9726" max="9727" width="7.83203125" style="9" customWidth="1"/>
    <col min="9728" max="9729" width="8" style="9" customWidth="1"/>
    <col min="9730" max="9731" width="9.08203125" style="9" customWidth="1"/>
    <col min="9732" max="9733" width="8.75" style="9" customWidth="1"/>
    <col min="9734" max="9735" width="8.5" style="9" customWidth="1"/>
    <col min="9736" max="9737" width="8.25" style="9" customWidth="1"/>
    <col min="9738" max="9739" width="7.58203125" style="9" customWidth="1"/>
    <col min="9740" max="9741" width="8.58203125" style="9" customWidth="1"/>
    <col min="9742" max="9743" width="7.83203125" style="9" customWidth="1"/>
    <col min="9744" max="9745" width="7.75" style="9" customWidth="1"/>
    <col min="9746" max="9747" width="8.08203125" style="9" customWidth="1"/>
    <col min="9748" max="9748" width="8.83203125" style="9" customWidth="1"/>
    <col min="9749" max="9749" width="8.08203125" style="9" customWidth="1"/>
    <col min="9750" max="9751" width="8.58203125" style="9" customWidth="1"/>
    <col min="9752" max="9752" width="11.83203125" style="9" bestFit="1" customWidth="1"/>
    <col min="9753" max="9978" width="9" style="9"/>
    <col min="9979" max="9979" width="5.33203125" style="9" customWidth="1"/>
    <col min="9980" max="9980" width="43.58203125" style="9" customWidth="1"/>
    <col min="9981" max="9981" width="5.75" style="9" customWidth="1"/>
    <col min="9982" max="9983" width="7.83203125" style="9" customWidth="1"/>
    <col min="9984" max="9985" width="8" style="9" customWidth="1"/>
    <col min="9986" max="9987" width="9.08203125" style="9" customWidth="1"/>
    <col min="9988" max="9989" width="8.75" style="9" customWidth="1"/>
    <col min="9990" max="9991" width="8.5" style="9" customWidth="1"/>
    <col min="9992" max="9993" width="8.25" style="9" customWidth="1"/>
    <col min="9994" max="9995" width="7.58203125" style="9" customWidth="1"/>
    <col min="9996" max="9997" width="8.58203125" style="9" customWidth="1"/>
    <col min="9998" max="9999" width="7.83203125" style="9" customWidth="1"/>
    <col min="10000" max="10001" width="7.75" style="9" customWidth="1"/>
    <col min="10002" max="10003" width="8.08203125" style="9" customWidth="1"/>
    <col min="10004" max="10004" width="8.83203125" style="9" customWidth="1"/>
    <col min="10005" max="10005" width="8.08203125" style="9" customWidth="1"/>
    <col min="10006" max="10007" width="8.58203125" style="9" customWidth="1"/>
    <col min="10008" max="10008" width="11.83203125" style="9" bestFit="1" customWidth="1"/>
    <col min="10009" max="10234" width="9" style="9"/>
    <col min="10235" max="10235" width="5.33203125" style="9" customWidth="1"/>
    <col min="10236" max="10236" width="43.58203125" style="9" customWidth="1"/>
    <col min="10237" max="10237" width="5.75" style="9" customWidth="1"/>
    <col min="10238" max="10239" width="7.83203125" style="9" customWidth="1"/>
    <col min="10240" max="10241" width="8" style="9" customWidth="1"/>
    <col min="10242" max="10243" width="9.08203125" style="9" customWidth="1"/>
    <col min="10244" max="10245" width="8.75" style="9" customWidth="1"/>
    <col min="10246" max="10247" width="8.5" style="9" customWidth="1"/>
    <col min="10248" max="10249" width="8.25" style="9" customWidth="1"/>
    <col min="10250" max="10251" width="7.58203125" style="9" customWidth="1"/>
    <col min="10252" max="10253" width="8.58203125" style="9" customWidth="1"/>
    <col min="10254" max="10255" width="7.83203125" style="9" customWidth="1"/>
    <col min="10256" max="10257" width="7.75" style="9" customWidth="1"/>
    <col min="10258" max="10259" width="8.08203125" style="9" customWidth="1"/>
    <col min="10260" max="10260" width="8.83203125" style="9" customWidth="1"/>
    <col min="10261" max="10261" width="8.08203125" style="9" customWidth="1"/>
    <col min="10262" max="10263" width="8.58203125" style="9" customWidth="1"/>
    <col min="10264" max="10264" width="11.83203125" style="9" bestFit="1" customWidth="1"/>
    <col min="10265" max="10490" width="9" style="9"/>
    <col min="10491" max="10491" width="5.33203125" style="9" customWidth="1"/>
    <col min="10492" max="10492" width="43.58203125" style="9" customWidth="1"/>
    <col min="10493" max="10493" width="5.75" style="9" customWidth="1"/>
    <col min="10494" max="10495" width="7.83203125" style="9" customWidth="1"/>
    <col min="10496" max="10497" width="8" style="9" customWidth="1"/>
    <col min="10498" max="10499" width="9.08203125" style="9" customWidth="1"/>
    <col min="10500" max="10501" width="8.75" style="9" customWidth="1"/>
    <col min="10502" max="10503" width="8.5" style="9" customWidth="1"/>
    <col min="10504" max="10505" width="8.25" style="9" customWidth="1"/>
    <col min="10506" max="10507" width="7.58203125" style="9" customWidth="1"/>
    <col min="10508" max="10509" width="8.58203125" style="9" customWidth="1"/>
    <col min="10510" max="10511" width="7.83203125" style="9" customWidth="1"/>
    <col min="10512" max="10513" width="7.75" style="9" customWidth="1"/>
    <col min="10514" max="10515" width="8.08203125" style="9" customWidth="1"/>
    <col min="10516" max="10516" width="8.83203125" style="9" customWidth="1"/>
    <col min="10517" max="10517" width="8.08203125" style="9" customWidth="1"/>
    <col min="10518" max="10519" width="8.58203125" style="9" customWidth="1"/>
    <col min="10520" max="10520" width="11.83203125" style="9" bestFit="1" customWidth="1"/>
    <col min="10521" max="10746" width="9" style="9"/>
    <col min="10747" max="10747" width="5.33203125" style="9" customWidth="1"/>
    <col min="10748" max="10748" width="43.58203125" style="9" customWidth="1"/>
    <col min="10749" max="10749" width="5.75" style="9" customWidth="1"/>
    <col min="10750" max="10751" width="7.83203125" style="9" customWidth="1"/>
    <col min="10752" max="10753" width="8" style="9" customWidth="1"/>
    <col min="10754" max="10755" width="9.08203125" style="9" customWidth="1"/>
    <col min="10756" max="10757" width="8.75" style="9" customWidth="1"/>
    <col min="10758" max="10759" width="8.5" style="9" customWidth="1"/>
    <col min="10760" max="10761" width="8.25" style="9" customWidth="1"/>
    <col min="10762" max="10763" width="7.58203125" style="9" customWidth="1"/>
    <col min="10764" max="10765" width="8.58203125" style="9" customWidth="1"/>
    <col min="10766" max="10767" width="7.83203125" style="9" customWidth="1"/>
    <col min="10768" max="10769" width="7.75" style="9" customWidth="1"/>
    <col min="10770" max="10771" width="8.08203125" style="9" customWidth="1"/>
    <col min="10772" max="10772" width="8.83203125" style="9" customWidth="1"/>
    <col min="10773" max="10773" width="8.08203125" style="9" customWidth="1"/>
    <col min="10774" max="10775" width="8.58203125" style="9" customWidth="1"/>
    <col min="10776" max="10776" width="11.83203125" style="9" bestFit="1" customWidth="1"/>
    <col min="10777" max="11002" width="9" style="9"/>
    <col min="11003" max="11003" width="5.33203125" style="9" customWidth="1"/>
    <col min="11004" max="11004" width="43.58203125" style="9" customWidth="1"/>
    <col min="11005" max="11005" width="5.75" style="9" customWidth="1"/>
    <col min="11006" max="11007" width="7.83203125" style="9" customWidth="1"/>
    <col min="11008" max="11009" width="8" style="9" customWidth="1"/>
    <col min="11010" max="11011" width="9.08203125" style="9" customWidth="1"/>
    <col min="11012" max="11013" width="8.75" style="9" customWidth="1"/>
    <col min="11014" max="11015" width="8.5" style="9" customWidth="1"/>
    <col min="11016" max="11017" width="8.25" style="9" customWidth="1"/>
    <col min="11018" max="11019" width="7.58203125" style="9" customWidth="1"/>
    <col min="11020" max="11021" width="8.58203125" style="9" customWidth="1"/>
    <col min="11022" max="11023" width="7.83203125" style="9" customWidth="1"/>
    <col min="11024" max="11025" width="7.75" style="9" customWidth="1"/>
    <col min="11026" max="11027" width="8.08203125" style="9" customWidth="1"/>
    <col min="11028" max="11028" width="8.83203125" style="9" customWidth="1"/>
    <col min="11029" max="11029" width="8.08203125" style="9" customWidth="1"/>
    <col min="11030" max="11031" width="8.58203125" style="9" customWidth="1"/>
    <col min="11032" max="11032" width="11.83203125" style="9" bestFit="1" customWidth="1"/>
    <col min="11033" max="11258" width="9" style="9"/>
    <col min="11259" max="11259" width="5.33203125" style="9" customWidth="1"/>
    <col min="11260" max="11260" width="43.58203125" style="9" customWidth="1"/>
    <col min="11261" max="11261" width="5.75" style="9" customWidth="1"/>
    <col min="11262" max="11263" width="7.83203125" style="9" customWidth="1"/>
    <col min="11264" max="11265" width="8" style="9" customWidth="1"/>
    <col min="11266" max="11267" width="9.08203125" style="9" customWidth="1"/>
    <col min="11268" max="11269" width="8.75" style="9" customWidth="1"/>
    <col min="11270" max="11271" width="8.5" style="9" customWidth="1"/>
    <col min="11272" max="11273" width="8.25" style="9" customWidth="1"/>
    <col min="11274" max="11275" width="7.58203125" style="9" customWidth="1"/>
    <col min="11276" max="11277" width="8.58203125" style="9" customWidth="1"/>
    <col min="11278" max="11279" width="7.83203125" style="9" customWidth="1"/>
    <col min="11280" max="11281" width="7.75" style="9" customWidth="1"/>
    <col min="11282" max="11283" width="8.08203125" style="9" customWidth="1"/>
    <col min="11284" max="11284" width="8.83203125" style="9" customWidth="1"/>
    <col min="11285" max="11285" width="8.08203125" style="9" customWidth="1"/>
    <col min="11286" max="11287" width="8.58203125" style="9" customWidth="1"/>
    <col min="11288" max="11288" width="11.83203125" style="9" bestFit="1" customWidth="1"/>
    <col min="11289" max="11514" width="9" style="9"/>
    <col min="11515" max="11515" width="5.33203125" style="9" customWidth="1"/>
    <col min="11516" max="11516" width="43.58203125" style="9" customWidth="1"/>
    <col min="11517" max="11517" width="5.75" style="9" customWidth="1"/>
    <col min="11518" max="11519" width="7.83203125" style="9" customWidth="1"/>
    <col min="11520" max="11521" width="8" style="9" customWidth="1"/>
    <col min="11522" max="11523" width="9.08203125" style="9" customWidth="1"/>
    <col min="11524" max="11525" width="8.75" style="9" customWidth="1"/>
    <col min="11526" max="11527" width="8.5" style="9" customWidth="1"/>
    <col min="11528" max="11529" width="8.25" style="9" customWidth="1"/>
    <col min="11530" max="11531" width="7.58203125" style="9" customWidth="1"/>
    <col min="11532" max="11533" width="8.58203125" style="9" customWidth="1"/>
    <col min="11534" max="11535" width="7.83203125" style="9" customWidth="1"/>
    <col min="11536" max="11537" width="7.75" style="9" customWidth="1"/>
    <col min="11538" max="11539" width="8.08203125" style="9" customWidth="1"/>
    <col min="11540" max="11540" width="8.83203125" style="9" customWidth="1"/>
    <col min="11541" max="11541" width="8.08203125" style="9" customWidth="1"/>
    <col min="11542" max="11543" width="8.58203125" style="9" customWidth="1"/>
    <col min="11544" max="11544" width="11.83203125" style="9" bestFit="1" customWidth="1"/>
    <col min="11545" max="11770" width="9" style="9"/>
    <col min="11771" max="11771" width="5.33203125" style="9" customWidth="1"/>
    <col min="11772" max="11772" width="43.58203125" style="9" customWidth="1"/>
    <col min="11773" max="11773" width="5.75" style="9" customWidth="1"/>
    <col min="11774" max="11775" width="7.83203125" style="9" customWidth="1"/>
    <col min="11776" max="11777" width="8" style="9" customWidth="1"/>
    <col min="11778" max="11779" width="9.08203125" style="9" customWidth="1"/>
    <col min="11780" max="11781" width="8.75" style="9" customWidth="1"/>
    <col min="11782" max="11783" width="8.5" style="9" customWidth="1"/>
    <col min="11784" max="11785" width="8.25" style="9" customWidth="1"/>
    <col min="11786" max="11787" width="7.58203125" style="9" customWidth="1"/>
    <col min="11788" max="11789" width="8.58203125" style="9" customWidth="1"/>
    <col min="11790" max="11791" width="7.83203125" style="9" customWidth="1"/>
    <col min="11792" max="11793" width="7.75" style="9" customWidth="1"/>
    <col min="11794" max="11795" width="8.08203125" style="9" customWidth="1"/>
    <col min="11796" max="11796" width="8.83203125" style="9" customWidth="1"/>
    <col min="11797" max="11797" width="8.08203125" style="9" customWidth="1"/>
    <col min="11798" max="11799" width="8.58203125" style="9" customWidth="1"/>
    <col min="11800" max="11800" width="11.83203125" style="9" bestFit="1" customWidth="1"/>
    <col min="11801" max="12026" width="9" style="9"/>
    <col min="12027" max="12027" width="5.33203125" style="9" customWidth="1"/>
    <col min="12028" max="12028" width="43.58203125" style="9" customWidth="1"/>
    <col min="12029" max="12029" width="5.75" style="9" customWidth="1"/>
    <col min="12030" max="12031" width="7.83203125" style="9" customWidth="1"/>
    <col min="12032" max="12033" width="8" style="9" customWidth="1"/>
    <col min="12034" max="12035" width="9.08203125" style="9" customWidth="1"/>
    <col min="12036" max="12037" width="8.75" style="9" customWidth="1"/>
    <col min="12038" max="12039" width="8.5" style="9" customWidth="1"/>
    <col min="12040" max="12041" width="8.25" style="9" customWidth="1"/>
    <col min="12042" max="12043" width="7.58203125" style="9" customWidth="1"/>
    <col min="12044" max="12045" width="8.58203125" style="9" customWidth="1"/>
    <col min="12046" max="12047" width="7.83203125" style="9" customWidth="1"/>
    <col min="12048" max="12049" width="7.75" style="9" customWidth="1"/>
    <col min="12050" max="12051" width="8.08203125" style="9" customWidth="1"/>
    <col min="12052" max="12052" width="8.83203125" style="9" customWidth="1"/>
    <col min="12053" max="12053" width="8.08203125" style="9" customWidth="1"/>
    <col min="12054" max="12055" width="8.58203125" style="9" customWidth="1"/>
    <col min="12056" max="12056" width="11.83203125" style="9" bestFit="1" customWidth="1"/>
    <col min="12057" max="12282" width="9" style="9"/>
    <col min="12283" max="12283" width="5.33203125" style="9" customWidth="1"/>
    <col min="12284" max="12284" width="43.58203125" style="9" customWidth="1"/>
    <col min="12285" max="12285" width="5.75" style="9" customWidth="1"/>
    <col min="12286" max="12287" width="7.83203125" style="9" customWidth="1"/>
    <col min="12288" max="12289" width="8" style="9" customWidth="1"/>
    <col min="12290" max="12291" width="9.08203125" style="9" customWidth="1"/>
    <col min="12292" max="12293" width="8.75" style="9" customWidth="1"/>
    <col min="12294" max="12295" width="8.5" style="9" customWidth="1"/>
    <col min="12296" max="12297" width="8.25" style="9" customWidth="1"/>
    <col min="12298" max="12299" width="7.58203125" style="9" customWidth="1"/>
    <col min="12300" max="12301" width="8.58203125" style="9" customWidth="1"/>
    <col min="12302" max="12303" width="7.83203125" style="9" customWidth="1"/>
    <col min="12304" max="12305" width="7.75" style="9" customWidth="1"/>
    <col min="12306" max="12307" width="8.08203125" style="9" customWidth="1"/>
    <col min="12308" max="12308" width="8.83203125" style="9" customWidth="1"/>
    <col min="12309" max="12309" width="8.08203125" style="9" customWidth="1"/>
    <col min="12310" max="12311" width="8.58203125" style="9" customWidth="1"/>
    <col min="12312" max="12312" width="11.83203125" style="9" bestFit="1" customWidth="1"/>
    <col min="12313" max="12538" width="9" style="9"/>
    <col min="12539" max="12539" width="5.33203125" style="9" customWidth="1"/>
    <col min="12540" max="12540" width="43.58203125" style="9" customWidth="1"/>
    <col min="12541" max="12541" width="5.75" style="9" customWidth="1"/>
    <col min="12542" max="12543" width="7.83203125" style="9" customWidth="1"/>
    <col min="12544" max="12545" width="8" style="9" customWidth="1"/>
    <col min="12546" max="12547" width="9.08203125" style="9" customWidth="1"/>
    <col min="12548" max="12549" width="8.75" style="9" customWidth="1"/>
    <col min="12550" max="12551" width="8.5" style="9" customWidth="1"/>
    <col min="12552" max="12553" width="8.25" style="9" customWidth="1"/>
    <col min="12554" max="12555" width="7.58203125" style="9" customWidth="1"/>
    <col min="12556" max="12557" width="8.58203125" style="9" customWidth="1"/>
    <col min="12558" max="12559" width="7.83203125" style="9" customWidth="1"/>
    <col min="12560" max="12561" width="7.75" style="9" customWidth="1"/>
    <col min="12562" max="12563" width="8.08203125" style="9" customWidth="1"/>
    <col min="12564" max="12564" width="8.83203125" style="9" customWidth="1"/>
    <col min="12565" max="12565" width="8.08203125" style="9" customWidth="1"/>
    <col min="12566" max="12567" width="8.58203125" style="9" customWidth="1"/>
    <col min="12568" max="12568" width="11.83203125" style="9" bestFit="1" customWidth="1"/>
    <col min="12569" max="12794" width="9" style="9"/>
    <col min="12795" max="12795" width="5.33203125" style="9" customWidth="1"/>
    <col min="12796" max="12796" width="43.58203125" style="9" customWidth="1"/>
    <col min="12797" max="12797" width="5.75" style="9" customWidth="1"/>
    <col min="12798" max="12799" width="7.83203125" style="9" customWidth="1"/>
    <col min="12800" max="12801" width="8" style="9" customWidth="1"/>
    <col min="12802" max="12803" width="9.08203125" style="9" customWidth="1"/>
    <col min="12804" max="12805" width="8.75" style="9" customWidth="1"/>
    <col min="12806" max="12807" width="8.5" style="9" customWidth="1"/>
    <col min="12808" max="12809" width="8.25" style="9" customWidth="1"/>
    <col min="12810" max="12811" width="7.58203125" style="9" customWidth="1"/>
    <col min="12812" max="12813" width="8.58203125" style="9" customWidth="1"/>
    <col min="12814" max="12815" width="7.83203125" style="9" customWidth="1"/>
    <col min="12816" max="12817" width="7.75" style="9" customWidth="1"/>
    <col min="12818" max="12819" width="8.08203125" style="9" customWidth="1"/>
    <col min="12820" max="12820" width="8.83203125" style="9" customWidth="1"/>
    <col min="12821" max="12821" width="8.08203125" style="9" customWidth="1"/>
    <col min="12822" max="12823" width="8.58203125" style="9" customWidth="1"/>
    <col min="12824" max="12824" width="11.83203125" style="9" bestFit="1" customWidth="1"/>
    <col min="12825" max="13050" width="9" style="9"/>
    <col min="13051" max="13051" width="5.33203125" style="9" customWidth="1"/>
    <col min="13052" max="13052" width="43.58203125" style="9" customWidth="1"/>
    <col min="13053" max="13053" width="5.75" style="9" customWidth="1"/>
    <col min="13054" max="13055" width="7.83203125" style="9" customWidth="1"/>
    <col min="13056" max="13057" width="8" style="9" customWidth="1"/>
    <col min="13058" max="13059" width="9.08203125" style="9" customWidth="1"/>
    <col min="13060" max="13061" width="8.75" style="9" customWidth="1"/>
    <col min="13062" max="13063" width="8.5" style="9" customWidth="1"/>
    <col min="13064" max="13065" width="8.25" style="9" customWidth="1"/>
    <col min="13066" max="13067" width="7.58203125" style="9" customWidth="1"/>
    <col min="13068" max="13069" width="8.58203125" style="9" customWidth="1"/>
    <col min="13070" max="13071" width="7.83203125" style="9" customWidth="1"/>
    <col min="13072" max="13073" width="7.75" style="9" customWidth="1"/>
    <col min="13074" max="13075" width="8.08203125" style="9" customWidth="1"/>
    <col min="13076" max="13076" width="8.83203125" style="9" customWidth="1"/>
    <col min="13077" max="13077" width="8.08203125" style="9" customWidth="1"/>
    <col min="13078" max="13079" width="8.58203125" style="9" customWidth="1"/>
    <col min="13080" max="13080" width="11.83203125" style="9" bestFit="1" customWidth="1"/>
    <col min="13081" max="13306" width="9" style="9"/>
    <col min="13307" max="13307" width="5.33203125" style="9" customWidth="1"/>
    <col min="13308" max="13308" width="43.58203125" style="9" customWidth="1"/>
    <col min="13309" max="13309" width="5.75" style="9" customWidth="1"/>
    <col min="13310" max="13311" width="7.83203125" style="9" customWidth="1"/>
    <col min="13312" max="13313" width="8" style="9" customWidth="1"/>
    <col min="13314" max="13315" width="9.08203125" style="9" customWidth="1"/>
    <col min="13316" max="13317" width="8.75" style="9" customWidth="1"/>
    <col min="13318" max="13319" width="8.5" style="9" customWidth="1"/>
    <col min="13320" max="13321" width="8.25" style="9" customWidth="1"/>
    <col min="13322" max="13323" width="7.58203125" style="9" customWidth="1"/>
    <col min="13324" max="13325" width="8.58203125" style="9" customWidth="1"/>
    <col min="13326" max="13327" width="7.83203125" style="9" customWidth="1"/>
    <col min="13328" max="13329" width="7.75" style="9" customWidth="1"/>
    <col min="13330" max="13331" width="8.08203125" style="9" customWidth="1"/>
    <col min="13332" max="13332" width="8.83203125" style="9" customWidth="1"/>
    <col min="13333" max="13333" width="8.08203125" style="9" customWidth="1"/>
    <col min="13334" max="13335" width="8.58203125" style="9" customWidth="1"/>
    <col min="13336" max="13336" width="11.83203125" style="9" bestFit="1" customWidth="1"/>
    <col min="13337" max="13562" width="9" style="9"/>
    <col min="13563" max="13563" width="5.33203125" style="9" customWidth="1"/>
    <col min="13564" max="13564" width="43.58203125" style="9" customWidth="1"/>
    <col min="13565" max="13565" width="5.75" style="9" customWidth="1"/>
    <col min="13566" max="13567" width="7.83203125" style="9" customWidth="1"/>
    <col min="13568" max="13569" width="8" style="9" customWidth="1"/>
    <col min="13570" max="13571" width="9.08203125" style="9" customWidth="1"/>
    <col min="13572" max="13573" width="8.75" style="9" customWidth="1"/>
    <col min="13574" max="13575" width="8.5" style="9" customWidth="1"/>
    <col min="13576" max="13577" width="8.25" style="9" customWidth="1"/>
    <col min="13578" max="13579" width="7.58203125" style="9" customWidth="1"/>
    <col min="13580" max="13581" width="8.58203125" style="9" customWidth="1"/>
    <col min="13582" max="13583" width="7.83203125" style="9" customWidth="1"/>
    <col min="13584" max="13585" width="7.75" style="9" customWidth="1"/>
    <col min="13586" max="13587" width="8.08203125" style="9" customWidth="1"/>
    <col min="13588" max="13588" width="8.83203125" style="9" customWidth="1"/>
    <col min="13589" max="13589" width="8.08203125" style="9" customWidth="1"/>
    <col min="13590" max="13591" width="8.58203125" style="9" customWidth="1"/>
    <col min="13592" max="13592" width="11.83203125" style="9" bestFit="1" customWidth="1"/>
    <col min="13593" max="13818" width="9" style="9"/>
    <col min="13819" max="13819" width="5.33203125" style="9" customWidth="1"/>
    <col min="13820" max="13820" width="43.58203125" style="9" customWidth="1"/>
    <col min="13821" max="13821" width="5.75" style="9" customWidth="1"/>
    <col min="13822" max="13823" width="7.83203125" style="9" customWidth="1"/>
    <col min="13824" max="13825" width="8" style="9" customWidth="1"/>
    <col min="13826" max="13827" width="9.08203125" style="9" customWidth="1"/>
    <col min="13828" max="13829" width="8.75" style="9" customWidth="1"/>
    <col min="13830" max="13831" width="8.5" style="9" customWidth="1"/>
    <col min="13832" max="13833" width="8.25" style="9" customWidth="1"/>
    <col min="13834" max="13835" width="7.58203125" style="9" customWidth="1"/>
    <col min="13836" max="13837" width="8.58203125" style="9" customWidth="1"/>
    <col min="13838" max="13839" width="7.83203125" style="9" customWidth="1"/>
    <col min="13840" max="13841" width="7.75" style="9" customWidth="1"/>
    <col min="13842" max="13843" width="8.08203125" style="9" customWidth="1"/>
    <col min="13844" max="13844" width="8.83203125" style="9" customWidth="1"/>
    <col min="13845" max="13845" width="8.08203125" style="9" customWidth="1"/>
    <col min="13846" max="13847" width="8.58203125" style="9" customWidth="1"/>
    <col min="13848" max="13848" width="11.83203125" style="9" bestFit="1" customWidth="1"/>
    <col min="13849" max="14074" width="9" style="9"/>
    <col min="14075" max="14075" width="5.33203125" style="9" customWidth="1"/>
    <col min="14076" max="14076" width="43.58203125" style="9" customWidth="1"/>
    <col min="14077" max="14077" width="5.75" style="9" customWidth="1"/>
    <col min="14078" max="14079" width="7.83203125" style="9" customWidth="1"/>
    <col min="14080" max="14081" width="8" style="9" customWidth="1"/>
    <col min="14082" max="14083" width="9.08203125" style="9" customWidth="1"/>
    <col min="14084" max="14085" width="8.75" style="9" customWidth="1"/>
    <col min="14086" max="14087" width="8.5" style="9" customWidth="1"/>
    <col min="14088" max="14089" width="8.25" style="9" customWidth="1"/>
    <col min="14090" max="14091" width="7.58203125" style="9" customWidth="1"/>
    <col min="14092" max="14093" width="8.58203125" style="9" customWidth="1"/>
    <col min="14094" max="14095" width="7.83203125" style="9" customWidth="1"/>
    <col min="14096" max="14097" width="7.75" style="9" customWidth="1"/>
    <col min="14098" max="14099" width="8.08203125" style="9" customWidth="1"/>
    <col min="14100" max="14100" width="8.83203125" style="9" customWidth="1"/>
    <col min="14101" max="14101" width="8.08203125" style="9" customWidth="1"/>
    <col min="14102" max="14103" width="8.58203125" style="9" customWidth="1"/>
    <col min="14104" max="14104" width="11.83203125" style="9" bestFit="1" customWidth="1"/>
    <col min="14105" max="14330" width="9" style="9"/>
    <col min="14331" max="14331" width="5.33203125" style="9" customWidth="1"/>
    <col min="14332" max="14332" width="43.58203125" style="9" customWidth="1"/>
    <col min="14333" max="14333" width="5.75" style="9" customWidth="1"/>
    <col min="14334" max="14335" width="7.83203125" style="9" customWidth="1"/>
    <col min="14336" max="14337" width="8" style="9" customWidth="1"/>
    <col min="14338" max="14339" width="9.08203125" style="9" customWidth="1"/>
    <col min="14340" max="14341" width="8.75" style="9" customWidth="1"/>
    <col min="14342" max="14343" width="8.5" style="9" customWidth="1"/>
    <col min="14344" max="14345" width="8.25" style="9" customWidth="1"/>
    <col min="14346" max="14347" width="7.58203125" style="9" customWidth="1"/>
    <col min="14348" max="14349" width="8.58203125" style="9" customWidth="1"/>
    <col min="14350" max="14351" width="7.83203125" style="9" customWidth="1"/>
    <col min="14352" max="14353" width="7.75" style="9" customWidth="1"/>
    <col min="14354" max="14355" width="8.08203125" style="9" customWidth="1"/>
    <col min="14356" max="14356" width="8.83203125" style="9" customWidth="1"/>
    <col min="14357" max="14357" width="8.08203125" style="9" customWidth="1"/>
    <col min="14358" max="14359" width="8.58203125" style="9" customWidth="1"/>
    <col min="14360" max="14360" width="11.83203125" style="9" bestFit="1" customWidth="1"/>
    <col min="14361" max="14586" width="9" style="9"/>
    <col min="14587" max="14587" width="5.33203125" style="9" customWidth="1"/>
    <col min="14588" max="14588" width="43.58203125" style="9" customWidth="1"/>
    <col min="14589" max="14589" width="5.75" style="9" customWidth="1"/>
    <col min="14590" max="14591" width="7.83203125" style="9" customWidth="1"/>
    <col min="14592" max="14593" width="8" style="9" customWidth="1"/>
    <col min="14594" max="14595" width="9.08203125" style="9" customWidth="1"/>
    <col min="14596" max="14597" width="8.75" style="9" customWidth="1"/>
    <col min="14598" max="14599" width="8.5" style="9" customWidth="1"/>
    <col min="14600" max="14601" width="8.25" style="9" customWidth="1"/>
    <col min="14602" max="14603" width="7.58203125" style="9" customWidth="1"/>
    <col min="14604" max="14605" width="8.58203125" style="9" customWidth="1"/>
    <col min="14606" max="14607" width="7.83203125" style="9" customWidth="1"/>
    <col min="14608" max="14609" width="7.75" style="9" customWidth="1"/>
    <col min="14610" max="14611" width="8.08203125" style="9" customWidth="1"/>
    <col min="14612" max="14612" width="8.83203125" style="9" customWidth="1"/>
    <col min="14613" max="14613" width="8.08203125" style="9" customWidth="1"/>
    <col min="14614" max="14615" width="8.58203125" style="9" customWidth="1"/>
    <col min="14616" max="14616" width="11.83203125" style="9" bestFit="1" customWidth="1"/>
    <col min="14617" max="14842" width="9" style="9"/>
    <col min="14843" max="14843" width="5.33203125" style="9" customWidth="1"/>
    <col min="14844" max="14844" width="43.58203125" style="9" customWidth="1"/>
    <col min="14845" max="14845" width="5.75" style="9" customWidth="1"/>
    <col min="14846" max="14847" width="7.83203125" style="9" customWidth="1"/>
    <col min="14848" max="14849" width="8" style="9" customWidth="1"/>
    <col min="14850" max="14851" width="9.08203125" style="9" customWidth="1"/>
    <col min="14852" max="14853" width="8.75" style="9" customWidth="1"/>
    <col min="14854" max="14855" width="8.5" style="9" customWidth="1"/>
    <col min="14856" max="14857" width="8.25" style="9" customWidth="1"/>
    <col min="14858" max="14859" width="7.58203125" style="9" customWidth="1"/>
    <col min="14860" max="14861" width="8.58203125" style="9" customWidth="1"/>
    <col min="14862" max="14863" width="7.83203125" style="9" customWidth="1"/>
    <col min="14864" max="14865" width="7.75" style="9" customWidth="1"/>
    <col min="14866" max="14867" width="8.08203125" style="9" customWidth="1"/>
    <col min="14868" max="14868" width="8.83203125" style="9" customWidth="1"/>
    <col min="14869" max="14869" width="8.08203125" style="9" customWidth="1"/>
    <col min="14870" max="14871" width="8.58203125" style="9" customWidth="1"/>
    <col min="14872" max="14872" width="11.83203125" style="9" bestFit="1" customWidth="1"/>
    <col min="14873" max="15098" width="9" style="9"/>
    <col min="15099" max="15099" width="5.33203125" style="9" customWidth="1"/>
    <col min="15100" max="15100" width="43.58203125" style="9" customWidth="1"/>
    <col min="15101" max="15101" width="5.75" style="9" customWidth="1"/>
    <col min="15102" max="15103" width="7.83203125" style="9" customWidth="1"/>
    <col min="15104" max="15105" width="8" style="9" customWidth="1"/>
    <col min="15106" max="15107" width="9.08203125" style="9" customWidth="1"/>
    <col min="15108" max="15109" width="8.75" style="9" customWidth="1"/>
    <col min="15110" max="15111" width="8.5" style="9" customWidth="1"/>
    <col min="15112" max="15113" width="8.25" style="9" customWidth="1"/>
    <col min="15114" max="15115" width="7.58203125" style="9" customWidth="1"/>
    <col min="15116" max="15117" width="8.58203125" style="9" customWidth="1"/>
    <col min="15118" max="15119" width="7.83203125" style="9" customWidth="1"/>
    <col min="15120" max="15121" width="7.75" style="9" customWidth="1"/>
    <col min="15122" max="15123" width="8.08203125" style="9" customWidth="1"/>
    <col min="15124" max="15124" width="8.83203125" style="9" customWidth="1"/>
    <col min="15125" max="15125" width="8.08203125" style="9" customWidth="1"/>
    <col min="15126" max="15127" width="8.58203125" style="9" customWidth="1"/>
    <col min="15128" max="15128" width="11.83203125" style="9" bestFit="1" customWidth="1"/>
    <col min="15129" max="15354" width="9" style="9"/>
    <col min="15355" max="15355" width="5.33203125" style="9" customWidth="1"/>
    <col min="15356" max="15356" width="43.58203125" style="9" customWidth="1"/>
    <col min="15357" max="15357" width="5.75" style="9" customWidth="1"/>
    <col min="15358" max="15359" width="7.83203125" style="9" customWidth="1"/>
    <col min="15360" max="15361" width="8" style="9" customWidth="1"/>
    <col min="15362" max="15363" width="9.08203125" style="9" customWidth="1"/>
    <col min="15364" max="15365" width="8.75" style="9" customWidth="1"/>
    <col min="15366" max="15367" width="8.5" style="9" customWidth="1"/>
    <col min="15368" max="15369" width="8.25" style="9" customWidth="1"/>
    <col min="15370" max="15371" width="7.58203125" style="9" customWidth="1"/>
    <col min="15372" max="15373" width="8.58203125" style="9" customWidth="1"/>
    <col min="15374" max="15375" width="7.83203125" style="9" customWidth="1"/>
    <col min="15376" max="15377" width="7.75" style="9" customWidth="1"/>
    <col min="15378" max="15379" width="8.08203125" style="9" customWidth="1"/>
    <col min="15380" max="15380" width="8.83203125" style="9" customWidth="1"/>
    <col min="15381" max="15381" width="8.08203125" style="9" customWidth="1"/>
    <col min="15382" max="15383" width="8.58203125" style="9" customWidth="1"/>
    <col min="15384" max="15384" width="11.83203125" style="9" bestFit="1" customWidth="1"/>
    <col min="15385" max="15610" width="9" style="9"/>
    <col min="15611" max="15611" width="5.33203125" style="9" customWidth="1"/>
    <col min="15612" max="15612" width="43.58203125" style="9" customWidth="1"/>
    <col min="15613" max="15613" width="5.75" style="9" customWidth="1"/>
    <col min="15614" max="15615" width="7.83203125" style="9" customWidth="1"/>
    <col min="15616" max="15617" width="8" style="9" customWidth="1"/>
    <col min="15618" max="15619" width="9.08203125" style="9" customWidth="1"/>
    <col min="15620" max="15621" width="8.75" style="9" customWidth="1"/>
    <col min="15622" max="15623" width="8.5" style="9" customWidth="1"/>
    <col min="15624" max="15625" width="8.25" style="9" customWidth="1"/>
    <col min="15626" max="15627" width="7.58203125" style="9" customWidth="1"/>
    <col min="15628" max="15629" width="8.58203125" style="9" customWidth="1"/>
    <col min="15630" max="15631" width="7.83203125" style="9" customWidth="1"/>
    <col min="15632" max="15633" width="7.75" style="9" customWidth="1"/>
    <col min="15634" max="15635" width="8.08203125" style="9" customWidth="1"/>
    <col min="15636" max="15636" width="8.83203125" style="9" customWidth="1"/>
    <col min="15637" max="15637" width="8.08203125" style="9" customWidth="1"/>
    <col min="15638" max="15639" width="8.58203125" style="9" customWidth="1"/>
    <col min="15640" max="15640" width="11.83203125" style="9" bestFit="1" customWidth="1"/>
    <col min="15641" max="15866" width="9" style="9"/>
    <col min="15867" max="15867" width="5.33203125" style="9" customWidth="1"/>
    <col min="15868" max="15868" width="43.58203125" style="9" customWidth="1"/>
    <col min="15869" max="15869" width="5.75" style="9" customWidth="1"/>
    <col min="15870" max="15871" width="7.83203125" style="9" customWidth="1"/>
    <col min="15872" max="15873" width="8" style="9" customWidth="1"/>
    <col min="15874" max="15875" width="9.08203125" style="9" customWidth="1"/>
    <col min="15876" max="15877" width="8.75" style="9" customWidth="1"/>
    <col min="15878" max="15879" width="8.5" style="9" customWidth="1"/>
    <col min="15880" max="15881" width="8.25" style="9" customWidth="1"/>
    <col min="15882" max="15883" width="7.58203125" style="9" customWidth="1"/>
    <col min="15884" max="15885" width="8.58203125" style="9" customWidth="1"/>
    <col min="15886" max="15887" width="7.83203125" style="9" customWidth="1"/>
    <col min="15888" max="15889" width="7.75" style="9" customWidth="1"/>
    <col min="15890" max="15891" width="8.08203125" style="9" customWidth="1"/>
    <col min="15892" max="15892" width="8.83203125" style="9" customWidth="1"/>
    <col min="15893" max="15893" width="8.08203125" style="9" customWidth="1"/>
    <col min="15894" max="15895" width="8.58203125" style="9" customWidth="1"/>
    <col min="15896" max="15896" width="11.83203125" style="9" bestFit="1" customWidth="1"/>
    <col min="15897" max="16122" width="9" style="9"/>
    <col min="16123" max="16123" width="5.33203125" style="9" customWidth="1"/>
    <col min="16124" max="16124" width="43.58203125" style="9" customWidth="1"/>
    <col min="16125" max="16125" width="5.75" style="9" customWidth="1"/>
    <col min="16126" max="16127" width="7.83203125" style="9" customWidth="1"/>
    <col min="16128" max="16129" width="8" style="9" customWidth="1"/>
    <col min="16130" max="16131" width="9.08203125" style="9" customWidth="1"/>
    <col min="16132" max="16133" width="8.75" style="9" customWidth="1"/>
    <col min="16134" max="16135" width="8.5" style="9" customWidth="1"/>
    <col min="16136" max="16137" width="8.25" style="9" customWidth="1"/>
    <col min="16138" max="16139" width="7.58203125" style="9" customWidth="1"/>
    <col min="16140" max="16141" width="8.58203125" style="9" customWidth="1"/>
    <col min="16142" max="16143" width="7.83203125" style="9" customWidth="1"/>
    <col min="16144" max="16145" width="7.75" style="9" customWidth="1"/>
    <col min="16146" max="16147" width="8.08203125" style="9" customWidth="1"/>
    <col min="16148" max="16148" width="8.83203125" style="9" customWidth="1"/>
    <col min="16149" max="16149" width="8.08203125" style="9" customWidth="1"/>
    <col min="16150" max="16151" width="8.58203125" style="9" customWidth="1"/>
    <col min="16152" max="16152" width="11.83203125" style="9" bestFit="1" customWidth="1"/>
    <col min="16153" max="16378" width="9" style="9"/>
    <col min="16379" max="16384" width="9" style="9" customWidth="1"/>
  </cols>
  <sheetData>
    <row r="1" spans="1:25" s="4" customFormat="1" ht="21.75" customHeight="1">
      <c r="A1" s="578" t="s">
        <v>150</v>
      </c>
      <c r="B1" s="578"/>
      <c r="C1" s="578"/>
      <c r="D1" s="578"/>
      <c r="E1" s="578"/>
      <c r="F1" s="578"/>
      <c r="G1" s="578"/>
      <c r="H1" s="578"/>
      <c r="I1" s="578"/>
      <c r="J1" s="578"/>
      <c r="K1" s="578"/>
      <c r="L1" s="578"/>
      <c r="M1" s="578"/>
      <c r="N1" s="578"/>
      <c r="O1" s="578"/>
      <c r="P1" s="578"/>
      <c r="Q1" s="578"/>
      <c r="R1" s="578"/>
      <c r="S1" s="578"/>
      <c r="T1" s="578"/>
      <c r="U1" s="578"/>
      <c r="V1" s="578"/>
      <c r="W1" s="578"/>
      <c r="X1" s="578"/>
      <c r="Y1" s="578"/>
    </row>
    <row r="2" spans="1:25" s="4" customFormat="1" ht="18" customHeight="1">
      <c r="A2" s="644" t="s">
        <v>136</v>
      </c>
      <c r="B2" s="644"/>
      <c r="C2" s="644"/>
      <c r="D2" s="644"/>
      <c r="E2" s="644"/>
      <c r="F2" s="644"/>
      <c r="G2" s="644"/>
      <c r="H2" s="644"/>
      <c r="I2" s="644"/>
      <c r="J2" s="644"/>
      <c r="K2" s="644"/>
      <c r="L2" s="644"/>
      <c r="M2" s="644"/>
      <c r="N2" s="644"/>
      <c r="O2" s="644"/>
      <c r="P2" s="644"/>
      <c r="Q2" s="644"/>
      <c r="R2" s="644"/>
      <c r="S2" s="644"/>
      <c r="T2" s="644"/>
      <c r="U2" s="644"/>
      <c r="V2" s="644"/>
      <c r="W2" s="644"/>
      <c r="X2" s="644"/>
      <c r="Y2" s="644"/>
    </row>
    <row r="3" spans="1:25" s="4" customFormat="1" ht="18" customHeight="1">
      <c r="A3" s="580" t="s">
        <v>214</v>
      </c>
      <c r="B3" s="580"/>
      <c r="C3" s="580"/>
      <c r="D3" s="580"/>
      <c r="E3" s="580"/>
      <c r="F3" s="580"/>
      <c r="G3" s="580"/>
      <c r="H3" s="580"/>
      <c r="I3" s="580"/>
      <c r="J3" s="580"/>
      <c r="K3" s="580"/>
      <c r="L3" s="580"/>
      <c r="M3" s="580"/>
      <c r="N3" s="580"/>
      <c r="O3" s="580"/>
      <c r="P3" s="580"/>
      <c r="Q3" s="580"/>
      <c r="R3" s="580"/>
      <c r="S3" s="580"/>
      <c r="T3" s="580"/>
      <c r="U3" s="580"/>
      <c r="V3" s="580"/>
      <c r="W3" s="580"/>
      <c r="X3" s="580"/>
      <c r="Y3" s="580"/>
    </row>
    <row r="4" spans="1:25" s="8" customFormat="1" ht="45" customHeight="1">
      <c r="A4" s="572" t="s">
        <v>1</v>
      </c>
      <c r="B4" s="572" t="s">
        <v>202</v>
      </c>
      <c r="C4" s="572" t="s">
        <v>134</v>
      </c>
      <c r="D4" s="643" t="s">
        <v>104</v>
      </c>
      <c r="E4" s="643"/>
      <c r="F4" s="643" t="s">
        <v>105</v>
      </c>
      <c r="G4" s="643"/>
      <c r="H4" s="643" t="s">
        <v>2</v>
      </c>
      <c r="I4" s="643"/>
      <c r="J4" s="643" t="s">
        <v>1820</v>
      </c>
      <c r="K4" s="643"/>
      <c r="L4" s="643" t="s">
        <v>1854</v>
      </c>
      <c r="M4" s="643"/>
      <c r="N4" s="643" t="s">
        <v>83</v>
      </c>
      <c r="O4" s="643"/>
      <c r="P4" s="643" t="s">
        <v>169</v>
      </c>
      <c r="Q4" s="643"/>
      <c r="R4" s="643" t="s">
        <v>1855</v>
      </c>
      <c r="S4" s="643"/>
      <c r="T4" s="643" t="s">
        <v>1824</v>
      </c>
      <c r="U4" s="643"/>
      <c r="V4" s="643" t="s">
        <v>170</v>
      </c>
      <c r="W4" s="643"/>
      <c r="X4" s="643" t="s">
        <v>171</v>
      </c>
      <c r="Y4" s="643"/>
    </row>
    <row r="5" spans="1:25" s="8" customFormat="1" ht="39.75" customHeight="1">
      <c r="A5" s="572"/>
      <c r="B5" s="572"/>
      <c r="C5" s="572"/>
      <c r="D5" s="116" t="s">
        <v>124</v>
      </c>
      <c r="E5" s="116" t="s">
        <v>135</v>
      </c>
      <c r="F5" s="116" t="s">
        <v>124</v>
      </c>
      <c r="G5" s="116" t="s">
        <v>135</v>
      </c>
      <c r="H5" s="116" t="s">
        <v>124</v>
      </c>
      <c r="I5" s="116" t="s">
        <v>135</v>
      </c>
      <c r="J5" s="116" t="s">
        <v>124</v>
      </c>
      <c r="K5" s="116" t="s">
        <v>135</v>
      </c>
      <c r="L5" s="116" t="s">
        <v>124</v>
      </c>
      <c r="M5" s="116" t="s">
        <v>135</v>
      </c>
      <c r="N5" s="116" t="s">
        <v>124</v>
      </c>
      <c r="O5" s="116" t="s">
        <v>135</v>
      </c>
      <c r="P5" s="116" t="s">
        <v>124</v>
      </c>
      <c r="Q5" s="116" t="s">
        <v>135</v>
      </c>
      <c r="R5" s="116" t="s">
        <v>124</v>
      </c>
      <c r="S5" s="116" t="s">
        <v>135</v>
      </c>
      <c r="T5" s="116" t="s">
        <v>124</v>
      </c>
      <c r="U5" s="116" t="s">
        <v>135</v>
      </c>
      <c r="V5" s="116" t="s">
        <v>124</v>
      </c>
      <c r="W5" s="116" t="s">
        <v>135</v>
      </c>
      <c r="X5" s="116" t="s">
        <v>124</v>
      </c>
      <c r="Y5" s="116" t="s">
        <v>135</v>
      </c>
    </row>
    <row r="6" spans="1:25" s="32" customFormat="1" ht="15.5" customHeight="1">
      <c r="A6" s="279"/>
      <c r="B6" s="101" t="s">
        <v>137</v>
      </c>
      <c r="C6" s="279"/>
      <c r="D6" s="117"/>
      <c r="E6" s="117"/>
      <c r="F6" s="117"/>
      <c r="G6" s="117"/>
      <c r="H6" s="117">
        <f>H7+H24</f>
        <v>2104.5449999999996</v>
      </c>
      <c r="I6" s="117">
        <f>I7+I24</f>
        <v>99.999999999999972</v>
      </c>
      <c r="J6" s="117">
        <f t="shared" ref="J6:K6" si="0">J7+J24</f>
        <v>4787.2602660837265</v>
      </c>
      <c r="K6" s="117">
        <f t="shared" si="0"/>
        <v>99.999999999999986</v>
      </c>
      <c r="L6" s="117">
        <f t="shared" ref="L6" si="1">L7+L24</f>
        <v>0</v>
      </c>
      <c r="M6" s="117">
        <f t="shared" ref="M6" si="2">M7+M24</f>
        <v>0</v>
      </c>
      <c r="N6" s="117">
        <f t="shared" ref="N6" si="3">N7+N24</f>
        <v>1.64</v>
      </c>
      <c r="O6" s="117">
        <f t="shared" ref="O6" si="4">O7+O24</f>
        <v>100</v>
      </c>
      <c r="P6" s="117">
        <f t="shared" ref="P6" si="5">P7+P24</f>
        <v>0</v>
      </c>
      <c r="Q6" s="117">
        <f t="shared" ref="Q6" si="6">Q7+Q24</f>
        <v>0</v>
      </c>
      <c r="R6" s="117">
        <f t="shared" ref="R6" si="7">R7+R24</f>
        <v>2245.721564541213</v>
      </c>
      <c r="S6" s="117">
        <f t="shared" ref="S6" si="8">S7+S24</f>
        <v>100</v>
      </c>
      <c r="T6" s="117">
        <f t="shared" ref="T6" si="9">T7+T24</f>
        <v>2381.9199999999996</v>
      </c>
      <c r="U6" s="117">
        <f t="shared" ref="U6" si="10">U7+U24</f>
        <v>100</v>
      </c>
      <c r="V6" s="117">
        <f t="shared" ref="V6" si="11">V7+V24</f>
        <v>276.75270201879857</v>
      </c>
      <c r="W6" s="117">
        <f t="shared" ref="W6" si="12">W7+W24</f>
        <v>100</v>
      </c>
      <c r="X6" s="117">
        <f t="shared" ref="X6" si="13">X7+X24</f>
        <v>6863.1183201780905</v>
      </c>
      <c r="Y6" s="117">
        <f t="shared" ref="Y6" si="14">Y7+Y24</f>
        <v>99.999999999999986</v>
      </c>
    </row>
    <row r="7" spans="1:25" s="33" customFormat="1" ht="15.5" customHeight="1">
      <c r="A7" s="279">
        <v>1</v>
      </c>
      <c r="B7" s="81" t="s">
        <v>3</v>
      </c>
      <c r="C7" s="279" t="s">
        <v>4</v>
      </c>
      <c r="D7" s="117"/>
      <c r="E7" s="117"/>
      <c r="F7" s="117"/>
      <c r="G7" s="117"/>
      <c r="H7" s="124">
        <f>H9+SUM(H12:H16)+SUM(H20:H23)</f>
        <v>797.3688860624153</v>
      </c>
      <c r="I7" s="124">
        <f>I9+SUM(I12:I16)+SUM(I20:I23)</f>
        <v>37.88794661375335</v>
      </c>
      <c r="J7" s="124">
        <f t="shared" ref="J7:Y7" si="15">J9+SUM(J12:J16)+SUM(J20:J23)</f>
        <v>4787.2602660837265</v>
      </c>
      <c r="K7" s="124">
        <f t="shared" si="15"/>
        <v>99.999999999999986</v>
      </c>
      <c r="L7" s="124">
        <f t="shared" si="15"/>
        <v>0</v>
      </c>
      <c r="M7" s="124">
        <f t="shared" si="15"/>
        <v>0</v>
      </c>
      <c r="N7" s="124">
        <f t="shared" si="15"/>
        <v>0</v>
      </c>
      <c r="O7" s="124">
        <f t="shared" si="15"/>
        <v>0</v>
      </c>
      <c r="P7" s="124">
        <f t="shared" si="15"/>
        <v>0</v>
      </c>
      <c r="Q7" s="124">
        <f t="shared" si="15"/>
        <v>0</v>
      </c>
      <c r="R7" s="124">
        <f t="shared" si="15"/>
        <v>0</v>
      </c>
      <c r="S7" s="124">
        <f t="shared" si="15"/>
        <v>0</v>
      </c>
      <c r="T7" s="124">
        <f t="shared" si="15"/>
        <v>1912.0899999999997</v>
      </c>
      <c r="U7" s="124">
        <f t="shared" si="15"/>
        <v>80.275156176529862</v>
      </c>
      <c r="V7" s="124">
        <f t="shared" si="15"/>
        <v>0</v>
      </c>
      <c r="W7" s="124">
        <f t="shared" si="15"/>
        <v>0</v>
      </c>
      <c r="X7" s="124">
        <f t="shared" si="15"/>
        <v>0</v>
      </c>
      <c r="Y7" s="124">
        <f t="shared" si="15"/>
        <v>0</v>
      </c>
    </row>
    <row r="8" spans="1:25" s="50" customFormat="1" ht="15.5" customHeight="1">
      <c r="A8" s="279"/>
      <c r="B8" s="96" t="s">
        <v>176</v>
      </c>
      <c r="C8" s="279"/>
      <c r="D8" s="117"/>
      <c r="E8" s="117"/>
      <c r="F8" s="117"/>
      <c r="G8" s="117"/>
      <c r="H8" s="119"/>
      <c r="I8" s="119"/>
      <c r="J8" s="119"/>
      <c r="K8" s="119"/>
      <c r="L8" s="118"/>
      <c r="M8" s="118"/>
      <c r="N8" s="119"/>
      <c r="O8" s="119"/>
      <c r="P8" s="117"/>
      <c r="Q8" s="117"/>
      <c r="R8" s="117"/>
      <c r="S8" s="117"/>
      <c r="T8" s="117"/>
      <c r="U8" s="117"/>
      <c r="V8" s="117"/>
      <c r="W8" s="117"/>
      <c r="X8" s="117"/>
      <c r="Y8" s="117"/>
    </row>
    <row r="9" spans="1:25" s="34" customFormat="1" ht="15.5" customHeight="1">
      <c r="A9" s="105" t="s">
        <v>6</v>
      </c>
      <c r="B9" s="82" t="s">
        <v>81</v>
      </c>
      <c r="C9" s="105" t="s">
        <v>5</v>
      </c>
      <c r="D9" s="117"/>
      <c r="E9" s="117"/>
      <c r="F9" s="117"/>
      <c r="G9" s="117"/>
      <c r="H9" s="118">
        <f>H10+H11</f>
        <v>605.1986402320963</v>
      </c>
      <c r="I9" s="118">
        <f>I10+I11</f>
        <v>28.756745055681694</v>
      </c>
      <c r="J9" s="118">
        <f t="shared" ref="J9:K9" si="16">J10+J11</f>
        <v>4143.322135452976</v>
      </c>
      <c r="K9" s="118">
        <f t="shared" si="16"/>
        <v>86.548921620308477</v>
      </c>
      <c r="L9" s="118">
        <f t="shared" ref="L9" si="17">L10+L11</f>
        <v>0</v>
      </c>
      <c r="M9" s="118">
        <f t="shared" ref="M9" si="18">M10+M11</f>
        <v>0</v>
      </c>
      <c r="N9" s="118">
        <f t="shared" ref="N9" si="19">N10+N11</f>
        <v>0</v>
      </c>
      <c r="O9" s="118">
        <f t="shared" ref="O9" si="20">O10+O11</f>
        <v>0</v>
      </c>
      <c r="P9" s="118">
        <f t="shared" ref="P9" si="21">P10+P11</f>
        <v>0</v>
      </c>
      <c r="Q9" s="118">
        <f t="shared" ref="Q9" si="22">Q10+Q11</f>
        <v>0</v>
      </c>
      <c r="R9" s="118">
        <f t="shared" ref="R9" si="23">R10+R11</f>
        <v>0</v>
      </c>
      <c r="S9" s="118">
        <f t="shared" ref="S9" si="24">S10+S11</f>
        <v>0</v>
      </c>
      <c r="T9" s="118">
        <f t="shared" ref="T9" si="25">T10+T11</f>
        <v>210.45000000000002</v>
      </c>
      <c r="U9" s="118">
        <f t="shared" ref="U9" si="26">U10+U11</f>
        <v>8.8353093302881724</v>
      </c>
      <c r="V9" s="118">
        <f t="shared" ref="V9" si="27">V10+V11</f>
        <v>0</v>
      </c>
      <c r="W9" s="118">
        <f t="shared" ref="W9" si="28">W10+W11</f>
        <v>0</v>
      </c>
      <c r="X9" s="118">
        <f t="shared" ref="X9" si="29">X10+X11</f>
        <v>0</v>
      </c>
      <c r="Y9" s="118">
        <f t="shared" ref="Y9" si="30">Y10+Y11</f>
        <v>0</v>
      </c>
    </row>
    <row r="10" spans="1:25" s="49" customFormat="1" ht="15.5" customHeight="1">
      <c r="A10" s="105"/>
      <c r="B10" s="82" t="s">
        <v>1778</v>
      </c>
      <c r="C10" s="105" t="s">
        <v>7</v>
      </c>
      <c r="D10" s="123"/>
      <c r="E10" s="123"/>
      <c r="F10" s="123"/>
      <c r="G10" s="123"/>
      <c r="H10" s="122">
        <v>596.44214023209634</v>
      </c>
      <c r="I10" s="118">
        <v>28.340669371864053</v>
      </c>
      <c r="J10" s="118">
        <v>4143.322135452976</v>
      </c>
      <c r="K10" s="118">
        <v>86.548921620308477</v>
      </c>
      <c r="L10" s="120"/>
      <c r="M10" s="120"/>
      <c r="N10" s="123"/>
      <c r="O10" s="123"/>
      <c r="P10" s="123"/>
      <c r="Q10" s="123"/>
      <c r="R10" s="123"/>
      <c r="S10" s="123"/>
      <c r="T10" s="122">
        <v>49.06</v>
      </c>
      <c r="U10" s="122">
        <v>2.0596829448512128</v>
      </c>
      <c r="V10" s="123"/>
      <c r="W10" s="123"/>
      <c r="X10" s="123"/>
      <c r="Y10" s="123"/>
    </row>
    <row r="11" spans="1:25" s="49" customFormat="1" ht="15.5" customHeight="1">
      <c r="A11" s="105"/>
      <c r="B11" s="82" t="s">
        <v>1779</v>
      </c>
      <c r="C11" s="105" t="s">
        <v>8</v>
      </c>
      <c r="D11" s="117"/>
      <c r="E11" s="117"/>
      <c r="F11" s="117"/>
      <c r="G11" s="117"/>
      <c r="H11" s="122">
        <v>8.7564999999999991</v>
      </c>
      <c r="I11" s="118">
        <v>0.41607568381764221</v>
      </c>
      <c r="J11" s="120"/>
      <c r="K11" s="120"/>
      <c r="L11" s="118"/>
      <c r="M11" s="118"/>
      <c r="N11" s="117"/>
      <c r="O11" s="117"/>
      <c r="P11" s="117"/>
      <c r="Q11" s="117"/>
      <c r="R11" s="117"/>
      <c r="S11" s="117"/>
      <c r="T11" s="122">
        <v>161.39000000000001</v>
      </c>
      <c r="U11" s="122">
        <v>6.7756263854369596</v>
      </c>
      <c r="V11" s="117"/>
      <c r="W11" s="117"/>
      <c r="X11" s="117"/>
      <c r="Y11" s="117"/>
    </row>
    <row r="12" spans="1:25" s="49" customFormat="1" ht="15.5" customHeight="1">
      <c r="A12" s="105" t="s">
        <v>9</v>
      </c>
      <c r="B12" s="82" t="s">
        <v>1780</v>
      </c>
      <c r="C12" s="105" t="s">
        <v>11</v>
      </c>
      <c r="D12" s="117"/>
      <c r="E12" s="117"/>
      <c r="F12" s="117"/>
      <c r="G12" s="117"/>
      <c r="H12" s="122">
        <v>129.95411863395327</v>
      </c>
      <c r="I12" s="118">
        <v>6.1749270571051351</v>
      </c>
      <c r="J12" s="120"/>
      <c r="K12" s="120"/>
      <c r="L12" s="118"/>
      <c r="M12" s="118"/>
      <c r="N12" s="117"/>
      <c r="O12" s="117"/>
      <c r="P12" s="117"/>
      <c r="Q12" s="117"/>
      <c r="R12" s="117"/>
      <c r="S12" s="117"/>
      <c r="T12" s="122">
        <v>64.39</v>
      </c>
      <c r="U12" s="122">
        <v>2.7032813864445493</v>
      </c>
      <c r="V12" s="117"/>
      <c r="W12" s="117"/>
      <c r="X12" s="117"/>
      <c r="Y12" s="117"/>
    </row>
    <row r="13" spans="1:25" s="34" customFormat="1" ht="15.5" customHeight="1">
      <c r="A13" s="105" t="s">
        <v>10</v>
      </c>
      <c r="B13" s="82" t="s">
        <v>59</v>
      </c>
      <c r="C13" s="105" t="s">
        <v>13</v>
      </c>
      <c r="D13" s="117"/>
      <c r="E13" s="117"/>
      <c r="F13" s="117"/>
      <c r="G13" s="117"/>
      <c r="H13" s="122">
        <v>23.422127196365814</v>
      </c>
      <c r="I13" s="118">
        <v>1.1129306903091079</v>
      </c>
      <c r="J13" s="118">
        <v>643.93813063075038</v>
      </c>
      <c r="K13" s="118">
        <v>13.451078379691509</v>
      </c>
      <c r="L13" s="118"/>
      <c r="M13" s="118"/>
      <c r="N13" s="117"/>
      <c r="O13" s="117"/>
      <c r="P13" s="117"/>
      <c r="Q13" s="117"/>
      <c r="R13" s="117"/>
      <c r="S13" s="117"/>
      <c r="T13" s="122">
        <v>214.62</v>
      </c>
      <c r="U13" s="122">
        <v>9.0103781823067131</v>
      </c>
      <c r="V13" s="117"/>
      <c r="W13" s="117"/>
      <c r="X13" s="117"/>
      <c r="Y13" s="117"/>
    </row>
    <row r="14" spans="1:25" s="34" customFormat="1" ht="15.5" customHeight="1">
      <c r="A14" s="105" t="s">
        <v>12</v>
      </c>
      <c r="B14" s="82" t="s">
        <v>60</v>
      </c>
      <c r="C14" s="105" t="s">
        <v>15</v>
      </c>
      <c r="D14" s="117"/>
      <c r="E14" s="117"/>
      <c r="F14" s="117"/>
      <c r="G14" s="117"/>
      <c r="H14" s="122"/>
      <c r="I14" s="118"/>
      <c r="J14" s="118"/>
      <c r="K14" s="118"/>
      <c r="L14" s="118"/>
      <c r="M14" s="118"/>
      <c r="N14" s="117"/>
      <c r="O14" s="117"/>
      <c r="P14" s="117"/>
      <c r="Q14" s="117"/>
      <c r="R14" s="117"/>
      <c r="S14" s="117"/>
      <c r="T14" s="122"/>
      <c r="U14" s="122"/>
      <c r="V14" s="117"/>
      <c r="W14" s="117"/>
      <c r="X14" s="117"/>
      <c r="Y14" s="117"/>
    </row>
    <row r="15" spans="1:25" s="34" customFormat="1" ht="15.5" customHeight="1">
      <c r="A15" s="105" t="s">
        <v>14</v>
      </c>
      <c r="B15" s="82" t="s">
        <v>61</v>
      </c>
      <c r="C15" s="105" t="s">
        <v>16</v>
      </c>
      <c r="D15" s="117"/>
      <c r="E15" s="117"/>
      <c r="F15" s="117"/>
      <c r="G15" s="117"/>
      <c r="H15" s="117"/>
      <c r="I15" s="117"/>
      <c r="J15" s="117"/>
      <c r="K15" s="117"/>
      <c r="L15" s="118"/>
      <c r="M15" s="118"/>
      <c r="N15" s="117"/>
      <c r="O15" s="117"/>
      <c r="P15" s="117"/>
      <c r="Q15" s="117"/>
      <c r="R15" s="117"/>
      <c r="S15" s="117"/>
      <c r="T15" s="122"/>
      <c r="U15" s="122"/>
      <c r="V15" s="117"/>
      <c r="W15" s="117"/>
      <c r="X15" s="117"/>
      <c r="Y15" s="117"/>
    </row>
    <row r="16" spans="1:25" s="34" customFormat="1" ht="15.5" customHeight="1">
      <c r="A16" s="105" t="s">
        <v>63</v>
      </c>
      <c r="B16" s="82" t="s">
        <v>62</v>
      </c>
      <c r="C16" s="105" t="s">
        <v>17</v>
      </c>
      <c r="D16" s="117"/>
      <c r="E16" s="117"/>
      <c r="F16" s="117"/>
      <c r="G16" s="117"/>
      <c r="H16" s="117">
        <f>H17+H18+H19</f>
        <v>0</v>
      </c>
      <c r="I16" s="117"/>
      <c r="J16" s="117"/>
      <c r="K16" s="117"/>
      <c r="L16" s="118"/>
      <c r="M16" s="118"/>
      <c r="N16" s="117"/>
      <c r="O16" s="117"/>
      <c r="P16" s="117"/>
      <c r="Q16" s="117"/>
      <c r="R16" s="117"/>
      <c r="S16" s="117"/>
      <c r="T16" s="122"/>
      <c r="U16" s="122"/>
      <c r="V16" s="117"/>
      <c r="W16" s="117"/>
      <c r="X16" s="117"/>
      <c r="Y16" s="117"/>
    </row>
    <row r="17" spans="1:25" s="34" customFormat="1" ht="15.5" customHeight="1">
      <c r="A17" s="106"/>
      <c r="B17" s="96" t="s">
        <v>177</v>
      </c>
      <c r="C17" s="106" t="s">
        <v>163</v>
      </c>
      <c r="D17" s="117"/>
      <c r="E17" s="117"/>
      <c r="F17" s="117"/>
      <c r="G17" s="117"/>
      <c r="H17" s="117"/>
      <c r="I17" s="117"/>
      <c r="J17" s="117"/>
      <c r="K17" s="117"/>
      <c r="L17" s="118"/>
      <c r="M17" s="118"/>
      <c r="N17" s="118"/>
      <c r="O17" s="118"/>
      <c r="P17" s="118"/>
      <c r="Q17" s="118"/>
      <c r="R17" s="118"/>
      <c r="S17" s="118"/>
      <c r="T17" s="118"/>
      <c r="U17" s="118"/>
      <c r="V17" s="118"/>
      <c r="W17" s="118"/>
      <c r="X17" s="118"/>
      <c r="Y17" s="118"/>
    </row>
    <row r="18" spans="1:25" s="34" customFormat="1" ht="15.5" hidden="1" customHeight="1">
      <c r="A18" s="106"/>
      <c r="B18" s="96"/>
      <c r="C18" s="106"/>
      <c r="D18" s="117"/>
      <c r="E18" s="117"/>
      <c r="F18" s="117"/>
      <c r="G18" s="117"/>
      <c r="H18" s="117"/>
      <c r="I18" s="117"/>
      <c r="J18" s="117"/>
      <c r="K18" s="117"/>
      <c r="L18" s="118"/>
      <c r="M18" s="118"/>
      <c r="N18" s="118"/>
      <c r="O18" s="118"/>
      <c r="P18" s="118"/>
      <c r="Q18" s="118"/>
      <c r="R18" s="118"/>
      <c r="S18" s="118"/>
      <c r="T18" s="118"/>
      <c r="U18" s="118"/>
      <c r="V18" s="118"/>
      <c r="W18" s="118"/>
      <c r="X18" s="118"/>
      <c r="Y18" s="118"/>
    </row>
    <row r="19" spans="1:25" s="34" customFormat="1" ht="15.5" hidden="1" customHeight="1">
      <c r="A19" s="106"/>
      <c r="B19" s="96"/>
      <c r="C19" s="106"/>
      <c r="D19" s="117"/>
      <c r="E19" s="117"/>
      <c r="F19" s="117"/>
      <c r="G19" s="117"/>
      <c r="H19" s="117"/>
      <c r="I19" s="117"/>
      <c r="J19" s="117"/>
      <c r="K19" s="117"/>
      <c r="L19" s="118"/>
      <c r="M19" s="118"/>
      <c r="N19" s="118"/>
      <c r="O19" s="118"/>
      <c r="P19" s="118"/>
      <c r="Q19" s="118"/>
      <c r="R19" s="118"/>
      <c r="S19" s="118"/>
      <c r="T19" s="118"/>
      <c r="U19" s="118"/>
      <c r="V19" s="118"/>
      <c r="W19" s="118"/>
      <c r="X19" s="118"/>
      <c r="Y19" s="118"/>
    </row>
    <row r="20" spans="1:25" s="50" customFormat="1" ht="15.5" customHeight="1">
      <c r="A20" s="105" t="s">
        <v>72</v>
      </c>
      <c r="B20" s="82" t="s">
        <v>71</v>
      </c>
      <c r="C20" s="105" t="s">
        <v>18</v>
      </c>
      <c r="D20" s="117"/>
      <c r="E20" s="117"/>
      <c r="F20" s="117"/>
      <c r="G20" s="117"/>
      <c r="H20" s="122">
        <v>36.78</v>
      </c>
      <c r="I20" s="122">
        <v>1.747646165798308</v>
      </c>
      <c r="J20" s="117"/>
      <c r="K20" s="117"/>
      <c r="L20" s="118"/>
      <c r="M20" s="118"/>
      <c r="N20" s="117"/>
      <c r="O20" s="117"/>
      <c r="P20" s="117"/>
      <c r="Q20" s="117"/>
      <c r="R20" s="117"/>
      <c r="S20" s="117"/>
      <c r="T20" s="122">
        <v>1422.5199999999998</v>
      </c>
      <c r="U20" s="122">
        <v>59.721569154295693</v>
      </c>
      <c r="V20" s="117"/>
      <c r="W20" s="117"/>
      <c r="X20" s="117"/>
      <c r="Y20" s="117"/>
    </row>
    <row r="21" spans="1:25" s="49" customFormat="1" ht="15.5" customHeight="1">
      <c r="A21" s="105" t="s">
        <v>82</v>
      </c>
      <c r="B21" s="82" t="s">
        <v>1782</v>
      </c>
      <c r="C21" s="105" t="s">
        <v>1783</v>
      </c>
      <c r="D21" s="117"/>
      <c r="E21" s="117"/>
      <c r="F21" s="117"/>
      <c r="G21" s="117"/>
      <c r="H21" s="121"/>
      <c r="I21" s="120"/>
      <c r="J21" s="120"/>
      <c r="K21" s="120"/>
      <c r="L21" s="118"/>
      <c r="M21" s="118"/>
      <c r="N21" s="117"/>
      <c r="O21" s="117"/>
      <c r="P21" s="117"/>
      <c r="Q21" s="117"/>
      <c r="R21" s="117"/>
      <c r="S21" s="117"/>
      <c r="T21" s="122"/>
      <c r="U21" s="122"/>
      <c r="V21" s="117"/>
      <c r="W21" s="117"/>
      <c r="X21" s="117"/>
      <c r="Y21" s="117"/>
    </row>
    <row r="22" spans="1:25" s="49" customFormat="1" ht="15.5" customHeight="1">
      <c r="A22" s="105" t="s">
        <v>85</v>
      </c>
      <c r="B22" s="82" t="s">
        <v>73</v>
      </c>
      <c r="C22" s="105" t="s">
        <v>19</v>
      </c>
      <c r="D22" s="117"/>
      <c r="E22" s="117"/>
      <c r="F22" s="117"/>
      <c r="G22" s="117"/>
      <c r="H22" s="121"/>
      <c r="I22" s="120"/>
      <c r="J22" s="120"/>
      <c r="K22" s="120"/>
      <c r="L22" s="118"/>
      <c r="M22" s="118"/>
      <c r="N22" s="117"/>
      <c r="O22" s="117"/>
      <c r="P22" s="117"/>
      <c r="Q22" s="117"/>
      <c r="R22" s="117"/>
      <c r="S22" s="117"/>
      <c r="T22" s="122"/>
      <c r="U22" s="122"/>
      <c r="V22" s="117"/>
      <c r="W22" s="117"/>
      <c r="X22" s="117"/>
      <c r="Y22" s="117"/>
    </row>
    <row r="23" spans="1:25" s="34" customFormat="1" ht="15.5" customHeight="1">
      <c r="A23" s="105" t="s">
        <v>1781</v>
      </c>
      <c r="B23" s="82" t="s">
        <v>84</v>
      </c>
      <c r="C23" s="105" t="s">
        <v>20</v>
      </c>
      <c r="D23" s="117"/>
      <c r="E23" s="117"/>
      <c r="F23" s="117"/>
      <c r="G23" s="117"/>
      <c r="H23" s="122">
        <v>2.0139999999999998</v>
      </c>
      <c r="I23" s="118">
        <v>9.5697644859102537E-2</v>
      </c>
      <c r="J23" s="117"/>
      <c r="K23" s="117"/>
      <c r="L23" s="118"/>
      <c r="M23" s="118"/>
      <c r="N23" s="117"/>
      <c r="O23" s="117"/>
      <c r="P23" s="117"/>
      <c r="Q23" s="117"/>
      <c r="R23" s="117"/>
      <c r="S23" s="117"/>
      <c r="T23" s="122">
        <v>0.11</v>
      </c>
      <c r="U23" s="277">
        <v>4.6181231947336615E-3</v>
      </c>
      <c r="V23" s="117"/>
      <c r="W23" s="117"/>
      <c r="X23" s="117"/>
      <c r="Y23" s="117"/>
    </row>
    <row r="24" spans="1:25" s="33" customFormat="1" ht="15.5" customHeight="1">
      <c r="A24" s="328">
        <v>2</v>
      </c>
      <c r="B24" s="81" t="s">
        <v>21</v>
      </c>
      <c r="C24" s="328" t="s">
        <v>22</v>
      </c>
      <c r="D24" s="117"/>
      <c r="E24" s="117"/>
      <c r="F24" s="117"/>
      <c r="G24" s="117"/>
      <c r="H24" s="117">
        <f>SUM(H26:H30)+H31+H43+H50+SUM(H62:H66)</f>
        <v>1307.1761139375844</v>
      </c>
      <c r="I24" s="117">
        <f>SUM(I26:I30)+I31+I43+I50+SUM(I62:I66)</f>
        <v>62.112053386246629</v>
      </c>
      <c r="J24" s="117">
        <f t="shared" ref="J24:Y24" si="31">SUM(J26:J30)+J31+J43+J50+SUM(J62:J66)</f>
        <v>0</v>
      </c>
      <c r="K24" s="117">
        <f t="shared" si="31"/>
        <v>0</v>
      </c>
      <c r="L24" s="117">
        <f t="shared" si="31"/>
        <v>0</v>
      </c>
      <c r="M24" s="117">
        <f t="shared" si="31"/>
        <v>0</v>
      </c>
      <c r="N24" s="117">
        <f t="shared" si="31"/>
        <v>1.64</v>
      </c>
      <c r="O24" s="117">
        <f t="shared" si="31"/>
        <v>100</v>
      </c>
      <c r="P24" s="117">
        <f t="shared" si="31"/>
        <v>0</v>
      </c>
      <c r="Q24" s="117">
        <f t="shared" si="31"/>
        <v>0</v>
      </c>
      <c r="R24" s="117">
        <f t="shared" si="31"/>
        <v>2245.721564541213</v>
      </c>
      <c r="S24" s="117">
        <f t="shared" si="31"/>
        <v>100</v>
      </c>
      <c r="T24" s="117">
        <f t="shared" si="31"/>
        <v>469.83</v>
      </c>
      <c r="U24" s="117">
        <f t="shared" si="31"/>
        <v>19.724843823470145</v>
      </c>
      <c r="V24" s="117">
        <f t="shared" si="31"/>
        <v>276.75270201879857</v>
      </c>
      <c r="W24" s="117">
        <f t="shared" si="31"/>
        <v>100</v>
      </c>
      <c r="X24" s="117">
        <f t="shared" si="31"/>
        <v>6863.1183201780905</v>
      </c>
      <c r="Y24" s="117">
        <f t="shared" si="31"/>
        <v>99.999999999999986</v>
      </c>
    </row>
    <row r="25" spans="1:25" s="34" customFormat="1" ht="15.5" customHeight="1">
      <c r="A25" s="279"/>
      <c r="B25" s="96" t="s">
        <v>176</v>
      </c>
      <c r="C25" s="279"/>
      <c r="D25" s="117"/>
      <c r="E25" s="117"/>
      <c r="F25" s="117"/>
      <c r="G25" s="117"/>
      <c r="H25" s="122"/>
      <c r="I25" s="118"/>
      <c r="J25" s="117"/>
      <c r="K25" s="117"/>
      <c r="L25" s="118"/>
      <c r="M25" s="118"/>
      <c r="N25" s="117"/>
      <c r="O25" s="117"/>
      <c r="P25" s="117"/>
      <c r="Q25" s="117"/>
      <c r="R25" s="117"/>
      <c r="S25" s="117"/>
      <c r="T25" s="122"/>
      <c r="U25" s="122"/>
      <c r="V25" s="117"/>
      <c r="W25" s="117"/>
      <c r="X25" s="117"/>
      <c r="Y25" s="117"/>
    </row>
    <row r="26" spans="1:25" s="33" customFormat="1" ht="15.5" customHeight="1">
      <c r="A26" s="105" t="s">
        <v>23</v>
      </c>
      <c r="B26" s="82" t="s">
        <v>95</v>
      </c>
      <c r="C26" s="105" t="s">
        <v>56</v>
      </c>
      <c r="D26" s="117"/>
      <c r="E26" s="117"/>
      <c r="F26" s="117"/>
      <c r="G26" s="117"/>
      <c r="H26" s="124"/>
      <c r="I26" s="124"/>
      <c r="J26" s="117"/>
      <c r="K26" s="117"/>
      <c r="L26" s="124"/>
      <c r="M26" s="118"/>
      <c r="N26" s="124"/>
      <c r="O26" s="124"/>
      <c r="P26" s="118"/>
      <c r="Q26" s="117"/>
      <c r="R26" s="124"/>
      <c r="S26" s="124"/>
      <c r="T26" s="118">
        <v>383.08</v>
      </c>
      <c r="U26" s="118">
        <v>16.082823940350643</v>
      </c>
      <c r="V26" s="124"/>
      <c r="W26" s="124"/>
      <c r="X26" s="118">
        <v>6338.3503424259588</v>
      </c>
      <c r="Y26" s="118">
        <v>92.353796725181397</v>
      </c>
    </row>
    <row r="27" spans="1:25" s="50" customFormat="1" ht="15.5" customHeight="1">
      <c r="A27" s="105" t="s">
        <v>25</v>
      </c>
      <c r="B27" s="82" t="s">
        <v>96</v>
      </c>
      <c r="C27" s="105" t="s">
        <v>55</v>
      </c>
      <c r="D27" s="117"/>
      <c r="E27" s="117"/>
      <c r="F27" s="117"/>
      <c r="G27" s="117"/>
      <c r="H27" s="118">
        <v>629.86954286448952</v>
      </c>
      <c r="I27" s="118">
        <v>29.929012820561667</v>
      </c>
      <c r="J27" s="117"/>
      <c r="K27" s="117"/>
      <c r="L27" s="119"/>
      <c r="M27" s="118"/>
      <c r="N27" s="119"/>
      <c r="O27" s="119"/>
      <c r="P27" s="118"/>
      <c r="Q27" s="118"/>
      <c r="R27" s="119"/>
      <c r="S27" s="124"/>
      <c r="T27" s="119"/>
      <c r="U27" s="119"/>
      <c r="V27" s="119"/>
      <c r="W27" s="119"/>
      <c r="X27" s="119"/>
      <c r="Y27" s="119"/>
    </row>
    <row r="28" spans="1:25" s="34" customFormat="1" ht="15.5" customHeight="1">
      <c r="A28" s="105" t="s">
        <v>27</v>
      </c>
      <c r="B28" s="82" t="s">
        <v>90</v>
      </c>
      <c r="C28" s="105" t="s">
        <v>24</v>
      </c>
      <c r="D28" s="117"/>
      <c r="E28" s="117"/>
      <c r="F28" s="117"/>
      <c r="G28" s="117"/>
      <c r="H28" s="122">
        <v>9.3551000000000002</v>
      </c>
      <c r="I28" s="118">
        <v>0.44451888650515903</v>
      </c>
      <c r="J28" s="117"/>
      <c r="K28" s="117"/>
      <c r="L28" s="118"/>
      <c r="M28" s="118"/>
      <c r="N28" s="117"/>
      <c r="O28" s="117"/>
      <c r="P28" s="117"/>
      <c r="Q28" s="117"/>
      <c r="R28" s="118"/>
      <c r="S28" s="118"/>
      <c r="T28" s="122"/>
      <c r="U28" s="122"/>
      <c r="V28" s="117"/>
      <c r="W28" s="117"/>
      <c r="X28" s="122">
        <v>5.7170000000000005</v>
      </c>
      <c r="Y28" s="122">
        <v>8.330032695475445E-2</v>
      </c>
    </row>
    <row r="29" spans="1:25" s="34" customFormat="1" ht="15.5" customHeight="1">
      <c r="A29" s="105" t="s">
        <v>29</v>
      </c>
      <c r="B29" s="82" t="s">
        <v>64</v>
      </c>
      <c r="C29" s="105" t="s">
        <v>26</v>
      </c>
      <c r="D29" s="117"/>
      <c r="E29" s="117"/>
      <c r="F29" s="117"/>
      <c r="G29" s="117"/>
      <c r="H29" s="122">
        <v>1.18</v>
      </c>
      <c r="I29" s="118">
        <v>5.6069126580804873E-2</v>
      </c>
      <c r="J29" s="117"/>
      <c r="K29" s="117"/>
      <c r="L29" s="118"/>
      <c r="M29" s="118"/>
      <c r="N29" s="117"/>
      <c r="O29" s="117"/>
      <c r="P29" s="117"/>
      <c r="Q29" s="117"/>
      <c r="R29" s="118"/>
      <c r="S29" s="118"/>
      <c r="T29" s="122"/>
      <c r="U29" s="122"/>
      <c r="V29" s="117"/>
      <c r="W29" s="117"/>
      <c r="X29" s="122"/>
      <c r="Y29" s="122"/>
    </row>
    <row r="30" spans="1:25" s="34" customFormat="1" ht="15.5" customHeight="1">
      <c r="A30" s="105" t="s">
        <v>31</v>
      </c>
      <c r="B30" s="82" t="s">
        <v>65</v>
      </c>
      <c r="C30" s="105" t="s">
        <v>28</v>
      </c>
      <c r="D30" s="117"/>
      <c r="E30" s="117"/>
      <c r="F30" s="117"/>
      <c r="G30" s="117"/>
      <c r="H30" s="122">
        <v>3.2780000000000005</v>
      </c>
      <c r="I30" s="118">
        <v>0.1557581329931173</v>
      </c>
      <c r="J30" s="117"/>
      <c r="K30" s="117"/>
      <c r="L30" s="118"/>
      <c r="M30" s="118"/>
      <c r="N30" s="117"/>
      <c r="O30" s="117"/>
      <c r="P30" s="117"/>
      <c r="Q30" s="117"/>
      <c r="R30" s="118"/>
      <c r="S30" s="118"/>
      <c r="T30" s="122"/>
      <c r="U30" s="122"/>
      <c r="V30" s="117"/>
      <c r="W30" s="117"/>
      <c r="X30" s="122">
        <v>1.972999999999999</v>
      </c>
      <c r="Y30" s="122">
        <v>2.8747865153354975E-2</v>
      </c>
    </row>
    <row r="31" spans="1:25" s="34" customFormat="1" ht="15.5" customHeight="1">
      <c r="A31" s="105" t="s">
        <v>33</v>
      </c>
      <c r="B31" s="82" t="s">
        <v>1784</v>
      </c>
      <c r="C31" s="105" t="s">
        <v>154</v>
      </c>
      <c r="D31" s="117"/>
      <c r="E31" s="117"/>
      <c r="F31" s="117"/>
      <c r="G31" s="117"/>
      <c r="H31" s="122">
        <f>SUM(H33:H42)</f>
        <v>29.506299999999996</v>
      </c>
      <c r="I31" s="122">
        <f>SUM(I33:I42)</f>
        <v>1.4020275166366125</v>
      </c>
      <c r="J31" s="122">
        <f t="shared" ref="J31:Y31" si="32">SUM(J33:J42)</f>
        <v>0</v>
      </c>
      <c r="K31" s="122">
        <f t="shared" si="32"/>
        <v>0</v>
      </c>
      <c r="L31" s="122">
        <f t="shared" si="32"/>
        <v>0</v>
      </c>
      <c r="M31" s="122">
        <f t="shared" si="32"/>
        <v>0</v>
      </c>
      <c r="N31" s="122">
        <f t="shared" si="32"/>
        <v>0</v>
      </c>
      <c r="O31" s="122">
        <f t="shared" si="32"/>
        <v>0</v>
      </c>
      <c r="P31" s="122">
        <f t="shared" si="32"/>
        <v>0</v>
      </c>
      <c r="Q31" s="122">
        <f t="shared" si="32"/>
        <v>0</v>
      </c>
      <c r="R31" s="122">
        <f t="shared" si="32"/>
        <v>0</v>
      </c>
      <c r="S31" s="122">
        <f t="shared" si="32"/>
        <v>0</v>
      </c>
      <c r="T31" s="122">
        <f t="shared" si="32"/>
        <v>0</v>
      </c>
      <c r="U31" s="122">
        <f t="shared" si="32"/>
        <v>0</v>
      </c>
      <c r="V31" s="122">
        <f t="shared" si="32"/>
        <v>0</v>
      </c>
      <c r="W31" s="122">
        <f t="shared" si="32"/>
        <v>0</v>
      </c>
      <c r="X31" s="122">
        <f t="shared" si="32"/>
        <v>77.240999999999985</v>
      </c>
      <c r="Y31" s="122">
        <f t="shared" si="32"/>
        <v>1.1254505080133264</v>
      </c>
    </row>
    <row r="32" spans="1:25" s="34" customFormat="1" ht="15.5" customHeight="1">
      <c r="A32" s="105"/>
      <c r="B32" s="82" t="s">
        <v>176</v>
      </c>
      <c r="C32" s="105"/>
      <c r="D32" s="117"/>
      <c r="E32" s="117"/>
      <c r="F32" s="117"/>
      <c r="G32" s="117"/>
      <c r="H32" s="122"/>
      <c r="I32" s="118"/>
      <c r="J32" s="117"/>
      <c r="K32" s="117"/>
      <c r="L32" s="118"/>
      <c r="M32" s="118"/>
      <c r="N32" s="117"/>
      <c r="O32" s="117"/>
      <c r="P32" s="117"/>
      <c r="Q32" s="117"/>
      <c r="R32" s="118"/>
      <c r="S32" s="118"/>
      <c r="T32" s="122"/>
      <c r="U32" s="122"/>
      <c r="V32" s="118"/>
      <c r="W32" s="122"/>
      <c r="X32" s="122"/>
      <c r="Y32" s="122"/>
    </row>
    <row r="33" spans="1:25" s="34" customFormat="1" ht="15.5" customHeight="1">
      <c r="A33" s="105" t="s">
        <v>140</v>
      </c>
      <c r="B33" s="108" t="s">
        <v>109</v>
      </c>
      <c r="C33" s="80" t="s">
        <v>46</v>
      </c>
      <c r="D33" s="117"/>
      <c r="E33" s="117"/>
      <c r="F33" s="117"/>
      <c r="G33" s="117"/>
      <c r="H33" s="122">
        <v>2.6999999999999997</v>
      </c>
      <c r="I33" s="118">
        <v>0.12829376421031624</v>
      </c>
      <c r="J33" s="117"/>
      <c r="K33" s="117"/>
      <c r="L33" s="118"/>
      <c r="M33" s="118"/>
      <c r="N33" s="117"/>
      <c r="O33" s="117"/>
      <c r="P33" s="117"/>
      <c r="Q33" s="117"/>
      <c r="R33" s="118"/>
      <c r="S33" s="118"/>
      <c r="T33" s="122"/>
      <c r="U33" s="122"/>
      <c r="V33" s="118"/>
      <c r="W33" s="122"/>
      <c r="X33" s="122">
        <v>6.74</v>
      </c>
      <c r="Y33" s="122">
        <v>9.8206087751450913E-2</v>
      </c>
    </row>
    <row r="34" spans="1:25" s="34" customFormat="1" ht="15.5" customHeight="1">
      <c r="A34" s="105" t="s">
        <v>140</v>
      </c>
      <c r="B34" s="82" t="s">
        <v>1785</v>
      </c>
      <c r="C34" s="105" t="s">
        <v>51</v>
      </c>
      <c r="D34" s="117"/>
      <c r="E34" s="117"/>
      <c r="F34" s="117"/>
      <c r="G34" s="117"/>
      <c r="H34" s="122">
        <v>0.47789999999999999</v>
      </c>
      <c r="I34" s="118">
        <v>2.2707996265225974E-2</v>
      </c>
      <c r="J34" s="117"/>
      <c r="K34" s="117"/>
      <c r="L34" s="118"/>
      <c r="M34" s="118"/>
      <c r="N34" s="117"/>
      <c r="O34" s="117"/>
      <c r="P34" s="117"/>
      <c r="Q34" s="117"/>
      <c r="R34" s="118"/>
      <c r="S34" s="118"/>
      <c r="T34" s="122"/>
      <c r="U34" s="122"/>
      <c r="V34" s="118"/>
      <c r="W34" s="122"/>
      <c r="X34" s="122"/>
      <c r="Y34" s="122"/>
    </row>
    <row r="35" spans="1:25" s="34" customFormat="1" ht="15.5" customHeight="1">
      <c r="A35" s="105" t="s">
        <v>140</v>
      </c>
      <c r="B35" s="82" t="s">
        <v>111</v>
      </c>
      <c r="C35" s="105" t="s">
        <v>47</v>
      </c>
      <c r="D35" s="117"/>
      <c r="E35" s="117"/>
      <c r="F35" s="117"/>
      <c r="G35" s="117"/>
      <c r="H35" s="122">
        <v>4.5299999999999994</v>
      </c>
      <c r="I35" s="118">
        <v>0.21524842661953056</v>
      </c>
      <c r="J35" s="117"/>
      <c r="K35" s="117"/>
      <c r="L35" s="118"/>
      <c r="M35" s="118"/>
      <c r="N35" s="117"/>
      <c r="O35" s="117"/>
      <c r="P35" s="117"/>
      <c r="Q35" s="117"/>
      <c r="R35" s="118"/>
      <c r="S35" s="118"/>
      <c r="T35" s="122"/>
      <c r="U35" s="122"/>
      <c r="V35" s="118"/>
      <c r="W35" s="122"/>
      <c r="X35" s="122">
        <v>4.3629999999999978</v>
      </c>
      <c r="Y35" s="122">
        <v>6.3571685587474794E-2</v>
      </c>
    </row>
    <row r="36" spans="1:25" s="34" customFormat="1" ht="15.5" customHeight="1">
      <c r="A36" s="105" t="s">
        <v>140</v>
      </c>
      <c r="B36" s="82" t="s">
        <v>166</v>
      </c>
      <c r="C36" s="105" t="s">
        <v>48</v>
      </c>
      <c r="D36" s="117"/>
      <c r="E36" s="117"/>
      <c r="F36" s="117"/>
      <c r="G36" s="117"/>
      <c r="H36" s="118">
        <v>19.288399999999999</v>
      </c>
      <c r="I36" s="118">
        <v>0.91651164503491256</v>
      </c>
      <c r="J36" s="117"/>
      <c r="K36" s="117"/>
      <c r="L36" s="118"/>
      <c r="M36" s="118"/>
      <c r="N36" s="118"/>
      <c r="O36" s="118"/>
      <c r="P36" s="118"/>
      <c r="Q36" s="118"/>
      <c r="R36" s="118"/>
      <c r="S36" s="118"/>
      <c r="T36" s="118"/>
      <c r="U36" s="118"/>
      <c r="V36" s="118"/>
      <c r="W36" s="118"/>
      <c r="X36" s="118">
        <v>58.295999999999992</v>
      </c>
      <c r="Y36" s="118">
        <v>0.84940980586922576</v>
      </c>
    </row>
    <row r="37" spans="1:25" s="34" customFormat="1" ht="15.5" customHeight="1">
      <c r="A37" s="105" t="s">
        <v>140</v>
      </c>
      <c r="B37" s="82" t="s">
        <v>1786</v>
      </c>
      <c r="C37" s="105" t="s">
        <v>49</v>
      </c>
      <c r="D37" s="117"/>
      <c r="E37" s="117"/>
      <c r="F37" s="117"/>
      <c r="G37" s="117"/>
      <c r="H37" s="118">
        <v>2.5099999999999998</v>
      </c>
      <c r="I37" s="118">
        <v>0.11926568450662731</v>
      </c>
      <c r="J37" s="117"/>
      <c r="K37" s="117"/>
      <c r="L37" s="118"/>
      <c r="M37" s="118"/>
      <c r="N37" s="118"/>
      <c r="O37" s="118"/>
      <c r="P37" s="118"/>
      <c r="Q37" s="118"/>
      <c r="R37" s="118"/>
      <c r="S37" s="118"/>
      <c r="T37" s="118"/>
      <c r="U37" s="118"/>
      <c r="V37" s="118"/>
      <c r="W37" s="118"/>
      <c r="X37" s="118">
        <v>7.8419999999999987</v>
      </c>
      <c r="Y37" s="118">
        <v>0.11426292880517476</v>
      </c>
    </row>
    <row r="38" spans="1:25" s="34" customFormat="1" ht="15.5" customHeight="1">
      <c r="A38" s="105" t="s">
        <v>140</v>
      </c>
      <c r="B38" s="82" t="s">
        <v>113</v>
      </c>
      <c r="C38" s="105" t="s">
        <v>50</v>
      </c>
      <c r="D38" s="117"/>
      <c r="E38" s="117"/>
      <c r="F38" s="117"/>
      <c r="G38" s="117"/>
      <c r="H38" s="122"/>
      <c r="I38" s="118"/>
      <c r="J38" s="117"/>
      <c r="K38" s="117"/>
      <c r="L38" s="118"/>
      <c r="M38" s="118"/>
      <c r="N38" s="117"/>
      <c r="O38" s="117"/>
      <c r="P38" s="117"/>
      <c r="Q38" s="117"/>
      <c r="R38" s="117"/>
      <c r="S38" s="117"/>
      <c r="T38" s="122"/>
      <c r="U38" s="122"/>
      <c r="V38" s="117"/>
      <c r="W38" s="117"/>
      <c r="X38" s="122"/>
      <c r="Y38" s="122"/>
    </row>
    <row r="39" spans="1:25" s="34" customFormat="1" ht="15.5" customHeight="1">
      <c r="A39" s="105" t="s">
        <v>140</v>
      </c>
      <c r="B39" s="82" t="s">
        <v>1787</v>
      </c>
      <c r="C39" s="105" t="s">
        <v>1812</v>
      </c>
      <c r="D39" s="117"/>
      <c r="E39" s="117"/>
      <c r="F39" s="117"/>
      <c r="G39" s="117"/>
      <c r="H39" s="122"/>
      <c r="I39" s="118"/>
      <c r="J39" s="117"/>
      <c r="K39" s="117"/>
      <c r="L39" s="118"/>
      <c r="M39" s="118"/>
      <c r="N39" s="117"/>
      <c r="O39" s="117"/>
      <c r="P39" s="117"/>
      <c r="Q39" s="117"/>
      <c r="R39" s="117"/>
      <c r="S39" s="117"/>
      <c r="T39" s="122"/>
      <c r="U39" s="122"/>
      <c r="V39" s="117"/>
      <c r="W39" s="117"/>
      <c r="X39" s="122"/>
      <c r="Y39" s="277"/>
    </row>
    <row r="40" spans="1:25" s="34" customFormat="1" ht="15.5" customHeight="1">
      <c r="A40" s="105" t="s">
        <v>140</v>
      </c>
      <c r="B40" s="82" t="s">
        <v>1788</v>
      </c>
      <c r="C40" s="105" t="s">
        <v>1813</v>
      </c>
      <c r="D40" s="117"/>
      <c r="E40" s="117"/>
      <c r="F40" s="117"/>
      <c r="G40" s="117"/>
      <c r="H40" s="122"/>
      <c r="I40" s="118"/>
      <c r="J40" s="117"/>
      <c r="K40" s="117"/>
      <c r="L40" s="118"/>
      <c r="M40" s="118"/>
      <c r="N40" s="117"/>
      <c r="O40" s="117"/>
      <c r="P40" s="117"/>
      <c r="Q40" s="117"/>
      <c r="R40" s="117"/>
      <c r="S40" s="117"/>
      <c r="T40" s="122"/>
      <c r="U40" s="122"/>
      <c r="V40" s="117"/>
      <c r="W40" s="117"/>
      <c r="X40" s="122"/>
      <c r="Y40" s="122"/>
    </row>
    <row r="41" spans="1:25" s="34" customFormat="1" ht="15.5" customHeight="1">
      <c r="A41" s="105" t="s">
        <v>140</v>
      </c>
      <c r="B41" s="82" t="s">
        <v>97</v>
      </c>
      <c r="C41" s="105" t="s">
        <v>98</v>
      </c>
      <c r="D41" s="117"/>
      <c r="E41" s="117"/>
      <c r="F41" s="117"/>
      <c r="G41" s="117"/>
      <c r="H41" s="122"/>
      <c r="I41" s="118"/>
      <c r="J41" s="117"/>
      <c r="K41" s="117"/>
      <c r="L41" s="118"/>
      <c r="M41" s="118"/>
      <c r="N41" s="117"/>
      <c r="O41" s="117"/>
      <c r="P41" s="117"/>
      <c r="Q41" s="117"/>
      <c r="R41" s="117"/>
      <c r="S41" s="117"/>
      <c r="T41" s="122"/>
      <c r="U41" s="122"/>
      <c r="V41" s="117"/>
      <c r="W41" s="117"/>
      <c r="X41" s="122"/>
      <c r="Y41" s="122"/>
    </row>
    <row r="42" spans="1:25" s="34" customFormat="1" ht="15.5" customHeight="1">
      <c r="A42" s="105" t="s">
        <v>140</v>
      </c>
      <c r="B42" s="82" t="s">
        <v>114</v>
      </c>
      <c r="C42" s="105" t="s">
        <v>116</v>
      </c>
      <c r="D42" s="117"/>
      <c r="E42" s="117"/>
      <c r="F42" s="117"/>
      <c r="G42" s="117"/>
      <c r="H42" s="122"/>
      <c r="I42" s="118"/>
      <c r="J42" s="117"/>
      <c r="K42" s="117"/>
      <c r="L42" s="118"/>
      <c r="M42" s="118"/>
      <c r="N42" s="117"/>
      <c r="O42" s="117"/>
      <c r="P42" s="117"/>
      <c r="Q42" s="117"/>
      <c r="R42" s="117"/>
      <c r="S42" s="117"/>
      <c r="T42" s="122"/>
      <c r="U42" s="122"/>
      <c r="V42" s="117"/>
      <c r="W42" s="117"/>
      <c r="X42" s="122"/>
      <c r="Y42" s="122"/>
    </row>
    <row r="43" spans="1:25" s="34" customFormat="1" ht="15.5" customHeight="1">
      <c r="A43" s="105" t="s">
        <v>67</v>
      </c>
      <c r="B43" s="82" t="s">
        <v>1789</v>
      </c>
      <c r="C43" s="105" t="s">
        <v>155</v>
      </c>
      <c r="D43" s="117"/>
      <c r="E43" s="117"/>
      <c r="F43" s="117"/>
      <c r="G43" s="117"/>
      <c r="H43" s="122">
        <f>SUM(H44:H49)</f>
        <v>229.61956454121307</v>
      </c>
      <c r="I43" s="122">
        <f>SUM(I44:I49)</f>
        <v>10.910651211602177</v>
      </c>
      <c r="J43" s="122">
        <f t="shared" ref="J43:Y43" si="33">SUM(J44:J49)</f>
        <v>0</v>
      </c>
      <c r="K43" s="122">
        <f t="shared" si="33"/>
        <v>0</v>
      </c>
      <c r="L43" s="122">
        <f t="shared" si="33"/>
        <v>0</v>
      </c>
      <c r="M43" s="122">
        <f t="shared" si="33"/>
        <v>0</v>
      </c>
      <c r="N43" s="122">
        <f t="shared" si="33"/>
        <v>0</v>
      </c>
      <c r="O43" s="122">
        <f t="shared" si="33"/>
        <v>0</v>
      </c>
      <c r="P43" s="122">
        <f t="shared" si="33"/>
        <v>0</v>
      </c>
      <c r="Q43" s="122">
        <f t="shared" si="33"/>
        <v>0</v>
      </c>
      <c r="R43" s="122">
        <f t="shared" si="33"/>
        <v>2245.721564541213</v>
      </c>
      <c r="S43" s="122">
        <f t="shared" si="33"/>
        <v>100</v>
      </c>
      <c r="T43" s="122">
        <f t="shared" si="33"/>
        <v>0.37</v>
      </c>
      <c r="U43" s="122">
        <f t="shared" si="33"/>
        <v>1.5533687109558679E-2</v>
      </c>
      <c r="V43" s="122">
        <f t="shared" si="33"/>
        <v>276.75270201879857</v>
      </c>
      <c r="W43" s="122">
        <f t="shared" si="33"/>
        <v>100</v>
      </c>
      <c r="X43" s="122">
        <f t="shared" si="33"/>
        <v>260.27270201879855</v>
      </c>
      <c r="Y43" s="122">
        <f t="shared" si="33"/>
        <v>3.7923388447723099</v>
      </c>
    </row>
    <row r="44" spans="1:25" s="34" customFormat="1" ht="15.5" customHeight="1">
      <c r="A44" s="105" t="s">
        <v>140</v>
      </c>
      <c r="B44" s="82" t="s">
        <v>66</v>
      </c>
      <c r="C44" s="105" t="s">
        <v>30</v>
      </c>
      <c r="D44" s="117"/>
      <c r="E44" s="117"/>
      <c r="F44" s="117"/>
      <c r="G44" s="117"/>
      <c r="H44" s="122">
        <v>195.20956454121307</v>
      </c>
      <c r="I44" s="118">
        <v>9.2756184610551475</v>
      </c>
      <c r="J44" s="117"/>
      <c r="K44" s="117"/>
      <c r="L44" s="118"/>
      <c r="M44" s="118"/>
      <c r="N44" s="117"/>
      <c r="O44" s="117"/>
      <c r="P44" s="117"/>
      <c r="Q44" s="117"/>
      <c r="R44" s="122">
        <v>1779.507564541213</v>
      </c>
      <c r="S44" s="122">
        <v>79.239901893392357</v>
      </c>
      <c r="T44" s="122"/>
      <c r="U44" s="122"/>
      <c r="V44" s="117"/>
      <c r="W44" s="117"/>
      <c r="X44" s="122"/>
      <c r="Y44" s="122"/>
    </row>
    <row r="45" spans="1:25" s="34" customFormat="1" ht="15.5" customHeight="1">
      <c r="A45" s="105" t="s">
        <v>140</v>
      </c>
      <c r="B45" s="82" t="s">
        <v>86</v>
      </c>
      <c r="C45" s="105" t="s">
        <v>87</v>
      </c>
      <c r="D45" s="117"/>
      <c r="E45" s="117"/>
      <c r="F45" s="117"/>
      <c r="G45" s="117"/>
      <c r="H45" s="122"/>
      <c r="I45" s="276"/>
      <c r="J45" s="117"/>
      <c r="K45" s="117"/>
      <c r="L45" s="118"/>
      <c r="M45" s="118"/>
      <c r="N45" s="117"/>
      <c r="O45" s="117"/>
      <c r="P45" s="117"/>
      <c r="Q45" s="117"/>
      <c r="R45" s="122">
        <v>466.214</v>
      </c>
      <c r="S45" s="122">
        <v>20.760098106607646</v>
      </c>
      <c r="T45" s="122"/>
      <c r="U45" s="277"/>
      <c r="V45" s="117"/>
      <c r="W45" s="117"/>
      <c r="X45" s="122"/>
      <c r="Y45" s="122"/>
    </row>
    <row r="46" spans="1:25" s="33" customFormat="1" ht="15.5" customHeight="1">
      <c r="A46" s="105" t="s">
        <v>140</v>
      </c>
      <c r="B46" s="82" t="s">
        <v>1790</v>
      </c>
      <c r="C46" s="105" t="s">
        <v>1814</v>
      </c>
      <c r="D46" s="117"/>
      <c r="E46" s="117"/>
      <c r="F46" s="117"/>
      <c r="G46" s="117"/>
      <c r="H46" s="122"/>
      <c r="I46" s="118"/>
      <c r="J46" s="117"/>
      <c r="K46" s="117"/>
      <c r="L46" s="124"/>
      <c r="M46" s="118"/>
      <c r="N46" s="117"/>
      <c r="O46" s="117"/>
      <c r="P46" s="117"/>
      <c r="Q46" s="117"/>
      <c r="R46" s="117"/>
      <c r="S46" s="117"/>
      <c r="T46" s="122"/>
      <c r="U46" s="122"/>
      <c r="V46" s="117"/>
      <c r="W46" s="117"/>
      <c r="X46" s="122"/>
      <c r="Y46" s="117"/>
    </row>
    <row r="47" spans="1:25" s="34" customFormat="1" ht="15.5" customHeight="1">
      <c r="A47" s="105" t="s">
        <v>140</v>
      </c>
      <c r="B47" s="108" t="s">
        <v>204</v>
      </c>
      <c r="C47" s="80" t="s">
        <v>88</v>
      </c>
      <c r="D47" s="117"/>
      <c r="E47" s="117"/>
      <c r="F47" s="117"/>
      <c r="G47" s="117"/>
      <c r="H47" s="122">
        <v>16.479999999999997</v>
      </c>
      <c r="I47" s="276">
        <v>0.7830671237725968</v>
      </c>
      <c r="J47" s="117"/>
      <c r="K47" s="117"/>
      <c r="L47" s="118"/>
      <c r="M47" s="118"/>
      <c r="N47" s="118"/>
      <c r="O47" s="118"/>
      <c r="P47" s="118"/>
      <c r="Q47" s="118"/>
      <c r="R47" s="118"/>
      <c r="S47" s="118"/>
      <c r="T47" s="118">
        <v>0.37</v>
      </c>
      <c r="U47" s="118">
        <v>1.5533687109558679E-2</v>
      </c>
      <c r="V47" s="118">
        <v>276.75270201879857</v>
      </c>
      <c r="W47" s="118">
        <v>100</v>
      </c>
      <c r="X47" s="122">
        <v>260.27270201879855</v>
      </c>
      <c r="Y47" s="118">
        <v>3.7923388447723099</v>
      </c>
    </row>
    <row r="48" spans="1:25" s="34" customFormat="1" ht="15.5" customHeight="1">
      <c r="A48" s="105" t="s">
        <v>140</v>
      </c>
      <c r="B48" s="108" t="s">
        <v>89</v>
      </c>
      <c r="C48" s="80" t="s">
        <v>32</v>
      </c>
      <c r="D48" s="117"/>
      <c r="E48" s="117"/>
      <c r="F48" s="117"/>
      <c r="G48" s="117"/>
      <c r="H48" s="122">
        <v>17.93</v>
      </c>
      <c r="I48" s="118">
        <v>0.85196562677443344</v>
      </c>
      <c r="J48" s="117"/>
      <c r="K48" s="117"/>
      <c r="L48" s="118"/>
      <c r="M48" s="118"/>
      <c r="N48" s="117"/>
      <c r="O48" s="117"/>
      <c r="P48" s="117"/>
      <c r="Q48" s="117"/>
      <c r="R48" s="117"/>
      <c r="S48" s="117"/>
      <c r="T48" s="122"/>
      <c r="U48" s="122"/>
      <c r="V48" s="117"/>
      <c r="W48" s="117"/>
      <c r="X48" s="117"/>
      <c r="Y48" s="118"/>
    </row>
    <row r="49" spans="1:25" s="34" customFormat="1" ht="15.5" customHeight="1">
      <c r="A49" s="105" t="s">
        <v>140</v>
      </c>
      <c r="B49" s="82" t="s">
        <v>94</v>
      </c>
      <c r="C49" s="105" t="s">
        <v>34</v>
      </c>
      <c r="D49" s="117"/>
      <c r="E49" s="117"/>
      <c r="F49" s="117"/>
      <c r="G49" s="117"/>
      <c r="H49" s="122"/>
      <c r="I49" s="118"/>
      <c r="J49" s="117"/>
      <c r="K49" s="117"/>
      <c r="L49" s="118"/>
      <c r="M49" s="118"/>
      <c r="N49" s="117"/>
      <c r="O49" s="117"/>
      <c r="P49" s="117"/>
      <c r="Q49" s="117"/>
      <c r="R49" s="117"/>
      <c r="S49" s="117"/>
      <c r="T49" s="122"/>
      <c r="U49" s="122"/>
      <c r="V49" s="117"/>
      <c r="W49" s="117"/>
      <c r="X49" s="117"/>
      <c r="Y49" s="118"/>
    </row>
    <row r="50" spans="1:25" s="34" customFormat="1" ht="15.5" customHeight="1">
      <c r="A50" s="105" t="s">
        <v>68</v>
      </c>
      <c r="B50" s="82" t="s">
        <v>1791</v>
      </c>
      <c r="C50" s="105" t="s">
        <v>156</v>
      </c>
      <c r="D50" s="117"/>
      <c r="E50" s="117"/>
      <c r="F50" s="117"/>
      <c r="G50" s="117"/>
      <c r="H50" s="122">
        <f>SUM(H52:H61)</f>
        <v>168.08043333333333</v>
      </c>
      <c r="I50" s="122">
        <f>SUM(I52:I61)</f>
        <v>7.9865449934942383</v>
      </c>
      <c r="J50" s="122">
        <f t="shared" ref="J50:Y50" si="34">SUM(J52:J61)</f>
        <v>0</v>
      </c>
      <c r="K50" s="122">
        <f t="shared" si="34"/>
        <v>0</v>
      </c>
      <c r="L50" s="122">
        <f t="shared" si="34"/>
        <v>0</v>
      </c>
      <c r="M50" s="122">
        <f t="shared" si="34"/>
        <v>0</v>
      </c>
      <c r="N50" s="122">
        <f t="shared" si="34"/>
        <v>1.64</v>
      </c>
      <c r="O50" s="122">
        <f t="shared" si="34"/>
        <v>100</v>
      </c>
      <c r="P50" s="122">
        <f t="shared" si="34"/>
        <v>0</v>
      </c>
      <c r="Q50" s="122">
        <f t="shared" si="34"/>
        <v>0</v>
      </c>
      <c r="R50" s="122">
        <f t="shared" si="34"/>
        <v>0</v>
      </c>
      <c r="S50" s="122">
        <f t="shared" si="34"/>
        <v>0</v>
      </c>
      <c r="T50" s="122">
        <f t="shared" si="34"/>
        <v>36.069999999999986</v>
      </c>
      <c r="U50" s="122">
        <f t="shared" si="34"/>
        <v>1.5143245784913009</v>
      </c>
      <c r="V50" s="122">
        <f t="shared" si="34"/>
        <v>0</v>
      </c>
      <c r="W50" s="122">
        <f t="shared" si="34"/>
        <v>0</v>
      </c>
      <c r="X50" s="122">
        <f t="shared" si="34"/>
        <v>169.8157637333334</v>
      </c>
      <c r="Y50" s="122">
        <f t="shared" si="34"/>
        <v>2.4743237084236487</v>
      </c>
    </row>
    <row r="51" spans="1:25" s="34" customFormat="1" ht="15.5" customHeight="1">
      <c r="A51" s="105"/>
      <c r="B51" s="82" t="s">
        <v>176</v>
      </c>
      <c r="C51" s="105"/>
      <c r="D51" s="117"/>
      <c r="E51" s="117"/>
      <c r="F51" s="117"/>
      <c r="G51" s="117"/>
      <c r="H51" s="122"/>
      <c r="I51" s="118"/>
      <c r="J51" s="117"/>
      <c r="K51" s="117"/>
      <c r="L51" s="118"/>
      <c r="M51" s="118"/>
      <c r="N51" s="117"/>
      <c r="O51" s="117"/>
      <c r="P51" s="117"/>
      <c r="Q51" s="117"/>
      <c r="R51" s="117"/>
      <c r="S51" s="117"/>
      <c r="T51" s="122"/>
      <c r="U51" s="122"/>
      <c r="V51" s="117"/>
      <c r="W51" s="117"/>
      <c r="X51" s="117"/>
      <c r="Y51" s="118"/>
    </row>
    <row r="52" spans="1:25" s="34" customFormat="1" ht="15.5" customHeight="1">
      <c r="A52" s="105" t="s">
        <v>140</v>
      </c>
      <c r="B52" s="82" t="s">
        <v>1792</v>
      </c>
      <c r="C52" s="105" t="s">
        <v>42</v>
      </c>
      <c r="D52" s="117"/>
      <c r="E52" s="117"/>
      <c r="F52" s="117"/>
      <c r="G52" s="117"/>
      <c r="H52" s="122">
        <v>163.14333333333332</v>
      </c>
      <c r="I52" s="118">
        <v>7.75195271820433</v>
      </c>
      <c r="J52" s="117"/>
      <c r="K52" s="117"/>
      <c r="L52" s="118"/>
      <c r="M52" s="118"/>
      <c r="N52" s="117"/>
      <c r="O52" s="117"/>
      <c r="P52" s="117"/>
      <c r="Q52" s="117"/>
      <c r="R52" s="117"/>
      <c r="S52" s="117"/>
      <c r="T52" s="122">
        <v>35.879999999999988</v>
      </c>
      <c r="U52" s="122">
        <v>1.5063478202458518</v>
      </c>
      <c r="V52" s="117"/>
      <c r="W52" s="117"/>
      <c r="X52" s="122">
        <v>164.21876373333336</v>
      </c>
      <c r="Y52" s="118">
        <v>2.3927718578086825</v>
      </c>
    </row>
    <row r="53" spans="1:25" s="34" customFormat="1" ht="15.5" customHeight="1">
      <c r="A53" s="105" t="s">
        <v>140</v>
      </c>
      <c r="B53" s="108" t="s">
        <v>1793</v>
      </c>
      <c r="C53" s="80" t="s">
        <v>43</v>
      </c>
      <c r="D53" s="117"/>
      <c r="E53" s="117"/>
      <c r="F53" s="117"/>
      <c r="G53" s="117"/>
      <c r="H53" s="122">
        <v>0.38</v>
      </c>
      <c r="I53" s="118">
        <v>1.8056159407377842E-2</v>
      </c>
      <c r="J53" s="117"/>
      <c r="K53" s="117"/>
      <c r="L53" s="118"/>
      <c r="M53" s="118"/>
      <c r="N53" s="117"/>
      <c r="O53" s="117"/>
      <c r="P53" s="117"/>
      <c r="Q53" s="117"/>
      <c r="R53" s="117"/>
      <c r="S53" s="117"/>
      <c r="T53" s="122"/>
      <c r="U53" s="122"/>
      <c r="V53" s="117"/>
      <c r="W53" s="117"/>
      <c r="X53" s="122">
        <v>0.11600000000000005</v>
      </c>
      <c r="Y53" s="118">
        <v>1.6901937951288293E-3</v>
      </c>
    </row>
    <row r="54" spans="1:25" s="34" customFormat="1" ht="15.5" customHeight="1">
      <c r="A54" s="105" t="s">
        <v>140</v>
      </c>
      <c r="B54" s="108" t="s">
        <v>1794</v>
      </c>
      <c r="C54" s="80" t="s">
        <v>1815</v>
      </c>
      <c r="D54" s="117"/>
      <c r="E54" s="117"/>
      <c r="F54" s="117"/>
      <c r="G54" s="117"/>
      <c r="H54" s="122"/>
      <c r="I54" s="118"/>
      <c r="J54" s="117"/>
      <c r="K54" s="117"/>
      <c r="L54" s="118"/>
      <c r="M54" s="118"/>
      <c r="N54" s="117"/>
      <c r="O54" s="117"/>
      <c r="P54" s="117"/>
      <c r="Q54" s="117"/>
      <c r="R54" s="117"/>
      <c r="S54" s="117"/>
      <c r="T54" s="122"/>
      <c r="U54" s="122"/>
      <c r="V54" s="117"/>
      <c r="W54" s="117"/>
      <c r="X54" s="122"/>
      <c r="Y54" s="118"/>
    </row>
    <row r="55" spans="1:25" s="34" customFormat="1" ht="15.5" customHeight="1">
      <c r="A55" s="105" t="s">
        <v>140</v>
      </c>
      <c r="B55" s="82" t="s">
        <v>1795</v>
      </c>
      <c r="C55" s="105" t="s">
        <v>1816</v>
      </c>
      <c r="D55" s="117"/>
      <c r="E55" s="117"/>
      <c r="F55" s="117"/>
      <c r="G55" s="117"/>
      <c r="H55" s="122"/>
      <c r="I55" s="118"/>
      <c r="J55" s="117"/>
      <c r="K55" s="117"/>
      <c r="L55" s="118"/>
      <c r="M55" s="118"/>
      <c r="N55" s="117"/>
      <c r="O55" s="117"/>
      <c r="P55" s="117"/>
      <c r="Q55" s="117"/>
      <c r="R55" s="117"/>
      <c r="S55" s="117"/>
      <c r="T55" s="122"/>
      <c r="U55" s="122"/>
      <c r="V55" s="117"/>
      <c r="W55" s="117"/>
      <c r="X55" s="122"/>
      <c r="Y55" s="118"/>
    </row>
    <row r="56" spans="1:25" s="34" customFormat="1" ht="31" customHeight="1">
      <c r="A56" s="105" t="s">
        <v>140</v>
      </c>
      <c r="B56" s="82" t="s">
        <v>1796</v>
      </c>
      <c r="C56" s="105" t="s">
        <v>1817</v>
      </c>
      <c r="D56" s="117"/>
      <c r="E56" s="117"/>
      <c r="F56" s="117"/>
      <c r="G56" s="117"/>
      <c r="H56" s="122">
        <v>0.08</v>
      </c>
      <c r="I56" s="276">
        <v>3.8012967173427035E-3</v>
      </c>
      <c r="J56" s="117"/>
      <c r="K56" s="117"/>
      <c r="L56" s="118"/>
      <c r="M56" s="118"/>
      <c r="N56" s="122">
        <v>1.64</v>
      </c>
      <c r="O56" s="122">
        <v>100</v>
      </c>
      <c r="P56" s="117"/>
      <c r="Q56" s="117"/>
      <c r="R56" s="117"/>
      <c r="S56" s="117"/>
      <c r="T56" s="122"/>
      <c r="U56" s="122"/>
      <c r="V56" s="117"/>
      <c r="W56" s="117"/>
      <c r="X56" s="117"/>
      <c r="Y56" s="117"/>
    </row>
    <row r="57" spans="1:25" s="34" customFormat="1" ht="15.5" customHeight="1">
      <c r="A57" s="105" t="s">
        <v>140</v>
      </c>
      <c r="B57" s="108" t="s">
        <v>1797</v>
      </c>
      <c r="C57" s="80" t="s">
        <v>36</v>
      </c>
      <c r="D57" s="117"/>
      <c r="E57" s="117"/>
      <c r="F57" s="117"/>
      <c r="G57" s="117"/>
      <c r="H57" s="122"/>
      <c r="I57" s="118"/>
      <c r="J57" s="117"/>
      <c r="K57" s="117"/>
      <c r="L57" s="118"/>
      <c r="M57" s="118"/>
      <c r="N57" s="117"/>
      <c r="O57" s="117"/>
      <c r="P57" s="117"/>
      <c r="Q57" s="117"/>
      <c r="R57" s="117"/>
      <c r="S57" s="117"/>
      <c r="T57" s="122"/>
      <c r="U57" s="122"/>
      <c r="V57" s="117"/>
      <c r="W57" s="117"/>
      <c r="X57" s="122"/>
      <c r="Y57" s="118"/>
    </row>
    <row r="58" spans="1:25" s="34" customFormat="1" ht="15.5" customHeight="1">
      <c r="A58" s="105" t="s">
        <v>140</v>
      </c>
      <c r="B58" s="108" t="s">
        <v>1798</v>
      </c>
      <c r="C58" s="80" t="s">
        <v>44</v>
      </c>
      <c r="D58" s="117"/>
      <c r="E58" s="117"/>
      <c r="F58" s="117"/>
      <c r="G58" s="117"/>
      <c r="H58" s="122">
        <v>1.05</v>
      </c>
      <c r="I58" s="118">
        <v>4.9892019415122987E-2</v>
      </c>
      <c r="J58" s="117"/>
      <c r="K58" s="117"/>
      <c r="L58" s="118"/>
      <c r="M58" s="118"/>
      <c r="N58" s="117"/>
      <c r="O58" s="117"/>
      <c r="P58" s="117"/>
      <c r="Q58" s="117"/>
      <c r="R58" s="117"/>
      <c r="S58" s="117"/>
      <c r="T58" s="122"/>
      <c r="U58" s="122"/>
      <c r="V58" s="117"/>
      <c r="W58" s="117"/>
      <c r="X58" s="122"/>
      <c r="Y58" s="118"/>
    </row>
    <row r="59" spans="1:25" s="34" customFormat="1" ht="29" customHeight="1">
      <c r="A59" s="105" t="s">
        <v>140</v>
      </c>
      <c r="B59" s="108" t="s">
        <v>1799</v>
      </c>
      <c r="C59" s="80" t="s">
        <v>45</v>
      </c>
      <c r="D59" s="117"/>
      <c r="E59" s="117"/>
      <c r="F59" s="117"/>
      <c r="G59" s="117"/>
      <c r="H59" s="122">
        <v>0.1</v>
      </c>
      <c r="I59" s="118">
        <v>4.7516208966783798E-3</v>
      </c>
      <c r="J59" s="117"/>
      <c r="K59" s="117"/>
      <c r="L59" s="118"/>
      <c r="M59" s="118"/>
      <c r="N59" s="117"/>
      <c r="O59" s="117"/>
      <c r="P59" s="117"/>
      <c r="Q59" s="117"/>
      <c r="R59" s="117"/>
      <c r="S59" s="117"/>
      <c r="T59" s="122">
        <v>0.04</v>
      </c>
      <c r="U59" s="277">
        <v>1.6793175253576949E-3</v>
      </c>
      <c r="V59" s="117"/>
      <c r="W59" s="117"/>
      <c r="X59" s="122">
        <v>0.53200000000000014</v>
      </c>
      <c r="Y59" s="118">
        <v>7.7515784397287676E-3</v>
      </c>
    </row>
    <row r="60" spans="1:25" s="34" customFormat="1" ht="15.5" customHeight="1">
      <c r="A60" s="105" t="s">
        <v>140</v>
      </c>
      <c r="B60" s="108" t="s">
        <v>1800</v>
      </c>
      <c r="C60" s="80" t="s">
        <v>52</v>
      </c>
      <c r="D60" s="117"/>
      <c r="E60" s="117"/>
      <c r="F60" s="117"/>
      <c r="G60" s="117"/>
      <c r="H60" s="122">
        <v>0.89400000000000002</v>
      </c>
      <c r="I60" s="118">
        <v>4.2479490816304713E-2</v>
      </c>
      <c r="J60" s="117"/>
      <c r="K60" s="117"/>
      <c r="L60" s="118"/>
      <c r="M60" s="118"/>
      <c r="N60" s="117"/>
      <c r="O60" s="117"/>
      <c r="P60" s="117"/>
      <c r="Q60" s="117"/>
      <c r="R60" s="117"/>
      <c r="S60" s="117"/>
      <c r="T60" s="122"/>
      <c r="U60" s="122"/>
      <c r="V60" s="117"/>
      <c r="W60" s="117"/>
      <c r="X60" s="122">
        <v>2.214</v>
      </c>
      <c r="Y60" s="118">
        <v>3.2259388469096782E-2</v>
      </c>
    </row>
    <row r="61" spans="1:25" s="34" customFormat="1" ht="22" customHeight="1">
      <c r="A61" s="105" t="s">
        <v>140</v>
      </c>
      <c r="B61" s="108" t="s">
        <v>1801</v>
      </c>
      <c r="C61" s="80" t="s">
        <v>101</v>
      </c>
      <c r="D61" s="117"/>
      <c r="E61" s="117"/>
      <c r="F61" s="117"/>
      <c r="G61" s="117"/>
      <c r="H61" s="122">
        <v>2.4330999999999996</v>
      </c>
      <c r="I61" s="122">
        <v>0.11561168803708163</v>
      </c>
      <c r="J61" s="117"/>
      <c r="K61" s="117"/>
      <c r="L61" s="118"/>
      <c r="M61" s="118"/>
      <c r="N61" s="117"/>
      <c r="O61" s="117"/>
      <c r="P61" s="117"/>
      <c r="Q61" s="117"/>
      <c r="R61" s="117"/>
      <c r="S61" s="117"/>
      <c r="T61" s="122">
        <v>0.15</v>
      </c>
      <c r="U61" s="122">
        <v>6.297440720091356E-3</v>
      </c>
      <c r="V61" s="117"/>
      <c r="W61" s="117"/>
      <c r="X61" s="122">
        <v>2.7350000000000003</v>
      </c>
      <c r="Y61" s="118">
        <v>3.9850689911011615E-2</v>
      </c>
    </row>
    <row r="62" spans="1:25" s="34" customFormat="1" ht="15.5" customHeight="1">
      <c r="A62" s="109" t="s">
        <v>69</v>
      </c>
      <c r="B62" s="108" t="s">
        <v>1802</v>
      </c>
      <c r="C62" s="80" t="s">
        <v>37</v>
      </c>
      <c r="D62" s="117"/>
      <c r="E62" s="117"/>
      <c r="F62" s="117"/>
      <c r="G62" s="117"/>
      <c r="H62" s="122">
        <v>5.84</v>
      </c>
      <c r="I62" s="118">
        <v>0.27749466036601733</v>
      </c>
      <c r="J62" s="117"/>
      <c r="K62" s="117"/>
      <c r="L62" s="118"/>
      <c r="M62" s="118"/>
      <c r="N62" s="117"/>
      <c r="O62" s="117"/>
      <c r="P62" s="117"/>
      <c r="Q62" s="117"/>
      <c r="R62" s="117"/>
      <c r="S62" s="117"/>
      <c r="T62" s="122"/>
      <c r="U62" s="122"/>
      <c r="V62" s="117"/>
      <c r="W62" s="117"/>
      <c r="X62" s="122"/>
      <c r="Y62" s="118"/>
    </row>
    <row r="63" spans="1:25" s="34" customFormat="1" ht="15.5" customHeight="1">
      <c r="A63" s="109" t="s">
        <v>70</v>
      </c>
      <c r="B63" s="108" t="s">
        <v>1803</v>
      </c>
      <c r="C63" s="80" t="s">
        <v>38</v>
      </c>
      <c r="D63" s="117"/>
      <c r="E63" s="117"/>
      <c r="F63" s="117"/>
      <c r="G63" s="117"/>
      <c r="H63" s="122">
        <v>3.48</v>
      </c>
      <c r="I63" s="118">
        <v>0.16535640720440758</v>
      </c>
      <c r="J63" s="117"/>
      <c r="K63" s="117"/>
      <c r="L63" s="118"/>
      <c r="M63" s="118"/>
      <c r="N63" s="117"/>
      <c r="O63" s="117"/>
      <c r="P63" s="117"/>
      <c r="Q63" s="117"/>
      <c r="R63" s="117"/>
      <c r="S63" s="117"/>
      <c r="T63" s="122">
        <v>0.16</v>
      </c>
      <c r="U63" s="122">
        <v>6.7172701014307796E-3</v>
      </c>
      <c r="V63" s="117"/>
      <c r="W63" s="117"/>
      <c r="X63" s="122">
        <v>9.7485120000000016</v>
      </c>
      <c r="Y63" s="122">
        <v>0.14204202150119768</v>
      </c>
    </row>
    <row r="64" spans="1:25" s="34" customFormat="1" ht="35.5" customHeight="1">
      <c r="A64" s="109" t="s">
        <v>74</v>
      </c>
      <c r="B64" s="82" t="s">
        <v>1804</v>
      </c>
      <c r="C64" s="105" t="s">
        <v>39</v>
      </c>
      <c r="D64" s="117"/>
      <c r="E64" s="117"/>
      <c r="F64" s="117"/>
      <c r="G64" s="117"/>
      <c r="H64" s="122">
        <v>18.278273198548469</v>
      </c>
      <c r="I64" s="118">
        <v>0.86851424885419259</v>
      </c>
      <c r="J64" s="117"/>
      <c r="K64" s="117"/>
      <c r="L64" s="118"/>
      <c r="M64" s="118"/>
      <c r="N64" s="117"/>
      <c r="O64" s="117"/>
      <c r="P64" s="117"/>
      <c r="Q64" s="117"/>
      <c r="R64" s="117"/>
      <c r="S64" s="117"/>
      <c r="T64" s="122">
        <v>3.49</v>
      </c>
      <c r="U64" s="122">
        <v>0.1465204540874589</v>
      </c>
      <c r="V64" s="117"/>
      <c r="W64" s="117"/>
      <c r="X64" s="117"/>
      <c r="Y64" s="117"/>
    </row>
    <row r="65" spans="1:25" s="34" customFormat="1" ht="15.5" customHeight="1">
      <c r="A65" s="109" t="s">
        <v>75</v>
      </c>
      <c r="B65" s="82" t="s">
        <v>76</v>
      </c>
      <c r="C65" s="105" t="s">
        <v>1856</v>
      </c>
      <c r="D65" s="117"/>
      <c r="E65" s="117"/>
      <c r="F65" s="117"/>
      <c r="G65" s="117"/>
      <c r="H65" s="122">
        <v>208.68890000000002</v>
      </c>
      <c r="I65" s="118">
        <v>9.9161053814482472</v>
      </c>
      <c r="J65" s="117"/>
      <c r="K65" s="117"/>
      <c r="L65" s="118"/>
      <c r="M65" s="118"/>
      <c r="N65" s="117"/>
      <c r="O65" s="117"/>
      <c r="P65" s="117"/>
      <c r="Q65" s="117"/>
      <c r="R65" s="117"/>
      <c r="S65" s="117"/>
      <c r="T65" s="122">
        <v>46.66</v>
      </c>
      <c r="U65" s="122">
        <v>1.958923893329751</v>
      </c>
      <c r="V65" s="117"/>
      <c r="W65" s="117"/>
      <c r="X65" s="117"/>
      <c r="Y65" s="117"/>
    </row>
    <row r="66" spans="1:25" s="50" customFormat="1" ht="15.5" customHeight="1">
      <c r="A66" s="109" t="s">
        <v>1858</v>
      </c>
      <c r="B66" s="82" t="s">
        <v>103</v>
      </c>
      <c r="C66" s="105" t="s">
        <v>53</v>
      </c>
      <c r="D66" s="117"/>
      <c r="E66" s="117"/>
      <c r="F66" s="117"/>
      <c r="G66" s="117"/>
      <c r="H66" s="123"/>
      <c r="I66" s="119"/>
      <c r="J66" s="117"/>
      <c r="K66" s="117"/>
      <c r="L66" s="119"/>
      <c r="M66" s="118"/>
      <c r="N66" s="117"/>
      <c r="O66" s="117"/>
      <c r="P66" s="117"/>
      <c r="Q66" s="117"/>
      <c r="R66" s="117"/>
      <c r="S66" s="117"/>
      <c r="T66" s="117"/>
      <c r="U66" s="117"/>
      <c r="V66" s="117"/>
      <c r="W66" s="117"/>
      <c r="X66" s="117"/>
      <c r="Y66" s="117"/>
    </row>
    <row r="69" spans="1:25" ht="15.75" customHeight="1">
      <c r="H69" s="10">
        <v>1.2930999999999999</v>
      </c>
      <c r="I69" s="10">
        <v>6.1443209814948122E-2</v>
      </c>
    </row>
    <row r="70" spans="1:25" ht="15.75" customHeight="1">
      <c r="H70" s="10">
        <v>1.1399999999999999</v>
      </c>
      <c r="I70" s="10">
        <v>5.4168478222133519E-2</v>
      </c>
    </row>
  </sheetData>
  <mergeCells count="17">
    <mergeCell ref="A1:Y1"/>
    <mergeCell ref="A2:Y2"/>
    <mergeCell ref="A3:Y3"/>
    <mergeCell ref="A4:A5"/>
    <mergeCell ref="B4:B5"/>
    <mergeCell ref="C4:C5"/>
    <mergeCell ref="D4:E4"/>
    <mergeCell ref="F4:G4"/>
    <mergeCell ref="H4:I4"/>
    <mergeCell ref="J4:K4"/>
    <mergeCell ref="V4:W4"/>
    <mergeCell ref="X4:Y4"/>
    <mergeCell ref="L4:M4"/>
    <mergeCell ref="N4:O4"/>
    <mergeCell ref="P4:Q4"/>
    <mergeCell ref="R4:S4"/>
    <mergeCell ref="T4:U4"/>
  </mergeCells>
  <printOptions horizontalCentered="1"/>
  <pageMargins left="0.47244094488188981" right="0.31496062992125984" top="0.39370078740157483" bottom="0.39370078740157483" header="0.31496062992125984" footer="0.31496062992125984"/>
  <pageSetup paperSize="8"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bia</vt:lpstr>
      <vt:lpstr>01CH</vt:lpstr>
      <vt:lpstr>02CH</vt:lpstr>
      <vt:lpstr>05CH</vt:lpstr>
      <vt:lpstr>06CH</vt:lpstr>
      <vt:lpstr>07CH</vt:lpstr>
      <vt:lpstr>09CH</vt:lpstr>
      <vt:lpstr>10CH</vt:lpstr>
      <vt:lpstr>So sánh biến động 24-25</vt:lpstr>
      <vt:lpstr>'01CH'!Print_Area</vt:lpstr>
      <vt:lpstr>'02CH'!Print_Area</vt:lpstr>
      <vt:lpstr>'05CH'!Print_Area</vt:lpstr>
      <vt:lpstr>'06CH'!Print_Area</vt:lpstr>
      <vt:lpstr>'07CH'!Print_Area</vt:lpstr>
      <vt:lpstr>'09CH'!Print_Area</vt:lpstr>
      <vt:lpstr>'10CH'!Print_Area</vt:lpstr>
      <vt:lpstr>bia!Print_Area</vt:lpstr>
      <vt:lpstr>'So sánh biến động 24-25'!Print_Area</vt:lpstr>
      <vt:lpstr>'07CH'!Print_Titles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hi tcc</cp:lastModifiedBy>
  <cp:lastPrinted>2024-10-31T08:32:40Z</cp:lastPrinted>
  <dcterms:created xsi:type="dcterms:W3CDTF">2010-02-24T07:38:41Z</dcterms:created>
  <dcterms:modified xsi:type="dcterms:W3CDTF">2024-10-31T10:15:30Z</dcterms:modified>
</cp:coreProperties>
</file>